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fiq.samsuddin\Desktop\2025\PENERBITAN\STATISTIK PEMERKASAAN WANITA MALAYSIA 2025\08 JADUAL\"/>
    </mc:Choice>
  </mc:AlternateContent>
  <xr:revisionPtr revIDLastSave="0" documentId="13_ncr:1_{77B8CABF-0F45-4900-90A9-96E7D03EF60D}" xr6:coauthVersionLast="36" xr6:coauthVersionMax="36" xr10:uidLastSave="{00000000-0000-0000-0000-000000000000}"/>
  <bookViews>
    <workbookView xWindow="0" yWindow="0" windowWidth="21600" windowHeight="9735" tabRatio="948" xr2:uid="{00000000-000D-0000-FFFF-FFFF00000000}"/>
  </bookViews>
  <sheets>
    <sheet name="2.1" sheetId="45" r:id="rId1"/>
    <sheet name="2.2 " sheetId="13" r:id="rId2"/>
    <sheet name="2.3" sheetId="17" r:id="rId3"/>
    <sheet name="2.4" sheetId="34" r:id="rId4"/>
    <sheet name="2.5" sheetId="48" r:id="rId5"/>
    <sheet name="2.6 " sheetId="44" r:id="rId6"/>
    <sheet name="2.7" sheetId="16" r:id="rId7"/>
    <sheet name="2.8" sheetId="29" r:id="rId8"/>
    <sheet name="2.9" sheetId="35" r:id="rId9"/>
    <sheet name="2.10" sheetId="30" r:id="rId10"/>
    <sheet name="2.11" sheetId="36" r:id="rId11"/>
    <sheet name="2.12 " sheetId="31" r:id="rId12"/>
    <sheet name="2.13" sheetId="37" r:id="rId13"/>
    <sheet name="2.14" sheetId="38" r:id="rId14"/>
    <sheet name="2.15 (1)" sheetId="19" r:id="rId15"/>
    <sheet name="2.15 (2)" sheetId="47" r:id="rId16"/>
    <sheet name="2.16" sheetId="33" r:id="rId17"/>
    <sheet name="2.17" sheetId="43" r:id="rId18"/>
    <sheet name="2.18" sheetId="40" r:id="rId19"/>
    <sheet name="2.19" sheetId="46" r:id="rId20"/>
  </sheets>
  <externalReferences>
    <externalReference r:id="rId21"/>
    <externalReference r:id="rId22"/>
  </externalReferences>
  <definedNames>
    <definedName name="__123Graph_A" localSheetId="15" hidden="1">#REF!</definedName>
    <definedName name="__123Graph_A" localSheetId="19" hidden="1">#REF!</definedName>
    <definedName name="__123Graph_A" localSheetId="4" hidden="1">#REF!</definedName>
    <definedName name="__123Graph_A" hidden="1">#REF!</definedName>
    <definedName name="__123Graph_B" localSheetId="15" hidden="1">#REF!</definedName>
    <definedName name="__123Graph_B" localSheetId="19" hidden="1">#REF!</definedName>
    <definedName name="__123Graph_B" localSheetId="4" hidden="1">#REF!</definedName>
    <definedName name="__123Graph_B" hidden="1">#REF!</definedName>
    <definedName name="__123Graph_C" localSheetId="15" hidden="1">#REF!</definedName>
    <definedName name="__123Graph_C" localSheetId="19" hidden="1">#REF!</definedName>
    <definedName name="__123Graph_C" localSheetId="4" hidden="1">#REF!</definedName>
    <definedName name="__123Graph_C" hidden="1">#REF!</definedName>
    <definedName name="__123Graph_D" localSheetId="15" hidden="1">#REF!</definedName>
    <definedName name="__123Graph_D" localSheetId="19" hidden="1">#REF!</definedName>
    <definedName name="__123Graph_D" localSheetId="4" hidden="1">#REF!</definedName>
    <definedName name="__123Graph_D" hidden="1">#REF!</definedName>
    <definedName name="__123Graph_E" hidden="1">'[1]4.13'!$E$38:$M$38</definedName>
    <definedName name="__123Graph_X" localSheetId="15" hidden="1">'[2]4.8'!#REF!</definedName>
    <definedName name="__123Graph_X" localSheetId="19" hidden="1">'[2]4.8'!#REF!</definedName>
    <definedName name="__123Graph_X" localSheetId="4" hidden="1">'[2]4.8'!#REF!</definedName>
    <definedName name="__123Graph_X" hidden="1">'[2]4.8'!#REF!</definedName>
    <definedName name="_123g" localSheetId="15" hidden="1">#REF!</definedName>
    <definedName name="_123g" localSheetId="19" hidden="1">#REF!</definedName>
    <definedName name="_123g" localSheetId="4" hidden="1">#REF!</definedName>
    <definedName name="_123g" hidden="1">#REF!</definedName>
    <definedName name="_123re" localSheetId="15" hidden="1">#REF!</definedName>
    <definedName name="_123re" localSheetId="19" hidden="1">#REF!</definedName>
    <definedName name="_123re" localSheetId="4" hidden="1">#REF!</definedName>
    <definedName name="_123re" hidden="1">#REF!</definedName>
    <definedName name="a" localSheetId="15" hidden="1">'[2]4.8'!#REF!</definedName>
    <definedName name="a" localSheetId="19" hidden="1">'[2]4.8'!#REF!</definedName>
    <definedName name="a" localSheetId="4" hidden="1">'[2]4.8'!#REF!</definedName>
    <definedName name="a" hidden="1">'[2]4.8'!#REF!</definedName>
    <definedName name="aab" localSheetId="15" hidden="1">#REF!</definedName>
    <definedName name="aab" localSheetId="19" hidden="1">#REF!</definedName>
    <definedName name="aab" localSheetId="4" hidden="1">#REF!</definedName>
    <definedName name="aab" hidden="1">#REF!</definedName>
    <definedName name="ass" localSheetId="15" hidden="1">'[2]4.8'!#REF!</definedName>
    <definedName name="ass" localSheetId="19" hidden="1">'[2]4.8'!#REF!</definedName>
    <definedName name="ass" localSheetId="4" hidden="1">'[2]4.8'!#REF!</definedName>
    <definedName name="ass" hidden="1">'[2]4.8'!#REF!</definedName>
    <definedName name="db" localSheetId="15" hidden="1">'[2]4.8'!#REF!</definedName>
    <definedName name="db" localSheetId="19" hidden="1">'[2]4.8'!#REF!</definedName>
    <definedName name="db" localSheetId="4" hidden="1">'[2]4.8'!#REF!</definedName>
    <definedName name="db" hidden="1">'[2]4.8'!#REF!</definedName>
    <definedName name="ds" localSheetId="15" hidden="1">'[2]4.8'!#REF!</definedName>
    <definedName name="ds" localSheetId="19" hidden="1">'[2]4.8'!#REF!</definedName>
    <definedName name="ds" localSheetId="4" hidden="1">'[2]4.8'!#REF!</definedName>
    <definedName name="ds" hidden="1">'[2]4.8'!#REF!</definedName>
    <definedName name="hb" localSheetId="15" hidden="1">'[2]4.8'!#REF!</definedName>
    <definedName name="hb" localSheetId="19" hidden="1">'[2]4.8'!#REF!</definedName>
    <definedName name="hb" localSheetId="4" hidden="1">'[2]4.8'!#REF!</definedName>
    <definedName name="hb" hidden="1">'[2]4.8'!#REF!</definedName>
    <definedName name="hh" localSheetId="15" hidden="1">'[2]4.8'!#REF!</definedName>
    <definedName name="hh" localSheetId="19" hidden="1">'[2]4.8'!#REF!</definedName>
    <definedName name="hh" localSheetId="4" hidden="1">'[2]4.8'!#REF!</definedName>
    <definedName name="hh" hidden="1">'[2]4.8'!#REF!</definedName>
    <definedName name="m" localSheetId="15" hidden="1">#REF!</definedName>
    <definedName name="m" localSheetId="19" hidden="1">#REF!</definedName>
    <definedName name="m" localSheetId="4" hidden="1">#REF!</definedName>
    <definedName name="m" hidden="1">#REF!</definedName>
    <definedName name="n" localSheetId="15" hidden="1">#REF!</definedName>
    <definedName name="n" localSheetId="19" hidden="1">#REF!</definedName>
    <definedName name="n" localSheetId="4" hidden="1">#REF!</definedName>
    <definedName name="n" hidden="1">#REF!</definedName>
    <definedName name="_xlnm.Print_Area" localSheetId="0">'2.1'!$A$1:$J$24</definedName>
    <definedName name="_xlnm.Print_Area" localSheetId="9">'2.10'!$A$1:$N$33</definedName>
    <definedName name="_xlnm.Print_Area" localSheetId="10">'2.11'!$A$1:$N$36</definedName>
    <definedName name="_xlnm.Print_Area" localSheetId="11">'2.12 '!$A$1:$N$33</definedName>
    <definedName name="_xlnm.Print_Area" localSheetId="12">'2.13'!$A$1:$N$32</definedName>
    <definedName name="_xlnm.Print_Area" localSheetId="13">'2.14'!$A$1:$N$35</definedName>
    <definedName name="_xlnm.Print_Area" localSheetId="14">'2.15 (1)'!$A$1:$N$44</definedName>
    <definedName name="_xlnm.Print_Area" localSheetId="15">'2.15 (2)'!$A$1:$N$45</definedName>
    <definedName name="_xlnm.Print_Area" localSheetId="16">'2.16'!$A$1:$N$44</definedName>
    <definedName name="_xlnm.Print_Area" localSheetId="17">'2.17'!$A$1:$N$48</definedName>
    <definedName name="_xlnm.Print_Area" localSheetId="18">'2.18'!$A$1:$N$34</definedName>
    <definedName name="_xlnm.Print_Area" localSheetId="19">'2.19'!$A$1:$O$75</definedName>
    <definedName name="_xlnm.Print_Area" localSheetId="1">'2.2 '!$A$1:$N$53</definedName>
    <definedName name="_xlnm.Print_Area" localSheetId="2">'2.3'!$A$1:$O$29</definedName>
    <definedName name="_xlnm.Print_Area" localSheetId="3">'2.4'!$A$1:$H$19</definedName>
    <definedName name="_xlnm.Print_Area" localSheetId="4">'2.5'!$A$1:$N$34</definedName>
    <definedName name="_xlnm.Print_Area" localSheetId="5">'2.6 '!$A$1:$N$54</definedName>
    <definedName name="_xlnm.Print_Area" localSheetId="6">'2.7'!$A$1:$N$35</definedName>
    <definedName name="_xlnm.Print_Area" localSheetId="7">'2.8'!$A$1:$N$34</definedName>
    <definedName name="_xlnm.Print_Area" localSheetId="8">'2.9'!$A$1:$N$33</definedName>
    <definedName name="sdfgg" localSheetId="15" hidden="1">#REF!</definedName>
    <definedName name="sdfgg" localSheetId="19" hidden="1">#REF!</definedName>
    <definedName name="sdfgg" localSheetId="4" hidden="1">#REF!</definedName>
    <definedName name="sdfgg" hidden="1">#REF!</definedName>
    <definedName name="sds" localSheetId="15" hidden="1">#REF!</definedName>
    <definedName name="sds" localSheetId="19" hidden="1">#REF!</definedName>
    <definedName name="sds" localSheetId="4" hidden="1">#REF!</definedName>
    <definedName name="sds" hidden="1">#REF!</definedName>
    <definedName name="t" hidden="1">'[1]4.13'!$E$38:$M$38</definedName>
  </definedNames>
  <calcPr calcId="191029"/>
</workbook>
</file>

<file path=xl/calcChain.xml><?xml version="1.0" encoding="utf-8"?>
<calcChain xmlns="http://schemas.openxmlformats.org/spreadsheetml/2006/main">
  <c r="N26" i="40" l="1"/>
  <c r="N25" i="40"/>
  <c r="N24" i="40"/>
  <c r="N23" i="40"/>
  <c r="N22" i="40"/>
  <c r="N21" i="40"/>
  <c r="N20" i="40"/>
  <c r="N19" i="40"/>
  <c r="N18" i="40"/>
  <c r="N17" i="40"/>
  <c r="N16" i="40"/>
  <c r="N15" i="40"/>
  <c r="N14" i="40" l="1"/>
  <c r="N13" i="40"/>
  <c r="M24" i="40"/>
  <c r="M25" i="40"/>
  <c r="M26" i="40"/>
  <c r="M23" i="40"/>
  <c r="M22" i="40"/>
  <c r="M21" i="40"/>
  <c r="M20" i="40"/>
  <c r="M19" i="40"/>
  <c r="M18" i="40"/>
  <c r="M17" i="40"/>
  <c r="M16" i="40"/>
  <c r="M15" i="40"/>
  <c r="M14" i="40"/>
  <c r="M13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J26" i="40"/>
  <c r="J25" i="40"/>
  <c r="J24" i="40"/>
  <c r="J23" i="40"/>
  <c r="J22" i="40"/>
  <c r="J21" i="40"/>
  <c r="J20" i="40"/>
  <c r="J19" i="40"/>
  <c r="J18" i="40"/>
  <c r="J17" i="40"/>
  <c r="J16" i="40"/>
  <c r="J15" i="40"/>
  <c r="J14" i="40"/>
  <c r="J13" i="40"/>
  <c r="I26" i="40"/>
  <c r="I25" i="40"/>
  <c r="I24" i="40"/>
  <c r="I23" i="40"/>
  <c r="I22" i="40"/>
  <c r="I21" i="40"/>
  <c r="I20" i="40"/>
  <c r="I19" i="40"/>
  <c r="I18" i="40"/>
  <c r="I17" i="40"/>
  <c r="I16" i="40"/>
  <c r="I15" i="40"/>
  <c r="I14" i="40"/>
  <c r="I13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F26" i="40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D26" i="40"/>
  <c r="D25" i="40"/>
  <c r="D24" i="40"/>
  <c r="D23" i="40"/>
  <c r="D22" i="40"/>
  <c r="D21" i="40"/>
  <c r="D20" i="40"/>
  <c r="D19" i="40"/>
  <c r="D18" i="40"/>
  <c r="D17" i="40"/>
  <c r="N11" i="40"/>
  <c r="M11" i="40"/>
  <c r="L11" i="40"/>
  <c r="J11" i="40"/>
  <c r="I11" i="40"/>
  <c r="H11" i="40"/>
  <c r="F11" i="40"/>
  <c r="E11" i="40"/>
  <c r="D11" i="40"/>
  <c r="D13" i="40"/>
  <c r="D16" i="40"/>
  <c r="D15" i="40"/>
  <c r="D14" i="40"/>
  <c r="N26" i="16" l="1"/>
  <c r="N25" i="16"/>
  <c r="N24" i="16"/>
  <c r="N23" i="16"/>
  <c r="N22" i="16"/>
  <c r="N21" i="16"/>
  <c r="N20" i="16"/>
  <c r="N19" i="16"/>
  <c r="N18" i="16"/>
  <c r="N17" i="16"/>
  <c r="M26" i="16"/>
  <c r="M25" i="16"/>
  <c r="M24" i="16"/>
  <c r="M23" i="16"/>
  <c r="M22" i="16"/>
  <c r="M21" i="16"/>
  <c r="M20" i="16"/>
  <c r="M19" i="16"/>
  <c r="M18" i="16"/>
  <c r="M17" i="16"/>
  <c r="M16" i="16"/>
  <c r="L26" i="16"/>
  <c r="L25" i="16"/>
  <c r="L24" i="16"/>
  <c r="L23" i="16"/>
  <c r="L22" i="16"/>
  <c r="L21" i="16"/>
  <c r="L20" i="16"/>
  <c r="L19" i="16"/>
  <c r="L18" i="16"/>
  <c r="L17" i="16"/>
  <c r="L16" i="16"/>
  <c r="N16" i="16"/>
  <c r="N15" i="16"/>
  <c r="M15" i="16"/>
  <c r="L15" i="16"/>
  <c r="N14" i="16"/>
  <c r="M14" i="16"/>
  <c r="L14" i="16"/>
  <c r="N13" i="16"/>
  <c r="M13" i="16"/>
  <c r="L13" i="16"/>
  <c r="N28" i="43" l="1"/>
  <c r="L28" i="43"/>
  <c r="M11" i="43"/>
  <c r="N11" i="43"/>
  <c r="L11" i="43"/>
  <c r="AJ27" i="30" l="1"/>
  <c r="AI27" i="30"/>
  <c r="AH27" i="30"/>
  <c r="AJ26" i="30"/>
  <c r="AI26" i="30"/>
  <c r="AH26" i="30"/>
  <c r="AJ25" i="30"/>
  <c r="AI25" i="30"/>
  <c r="AH25" i="30"/>
  <c r="AJ24" i="30"/>
  <c r="AI24" i="30"/>
  <c r="AH24" i="30"/>
  <c r="AJ23" i="30"/>
  <c r="AI23" i="30"/>
  <c r="AH23" i="30"/>
  <c r="AJ22" i="30"/>
  <c r="AI22" i="30"/>
  <c r="AH22" i="30"/>
  <c r="AJ21" i="30"/>
  <c r="AI21" i="30"/>
  <c r="AH21" i="30"/>
  <c r="AJ20" i="30"/>
  <c r="AI20" i="30"/>
  <c r="AH20" i="30"/>
  <c r="AJ19" i="30"/>
  <c r="AI19" i="30"/>
  <c r="AH19" i="30"/>
  <c r="AJ18" i="30"/>
  <c r="AI18" i="30"/>
  <c r="AH18" i="30"/>
  <c r="AJ17" i="30"/>
  <c r="AI17" i="30"/>
  <c r="AH17" i="30"/>
  <c r="AJ16" i="30"/>
  <c r="AI16" i="30"/>
  <c r="AH16" i="30"/>
  <c r="AJ15" i="30"/>
  <c r="AI15" i="30"/>
  <c r="AH15" i="30"/>
  <c r="AJ14" i="30"/>
  <c r="AI14" i="30"/>
  <c r="AH14" i="30"/>
  <c r="AJ13" i="30"/>
  <c r="AI13" i="30"/>
  <c r="AH13" i="30"/>
  <c r="AJ11" i="30"/>
  <c r="AI11" i="30"/>
  <c r="AH11" i="30"/>
</calcChain>
</file>

<file path=xl/sharedStrings.xml><?xml version="1.0" encoding="utf-8"?>
<sst xmlns="http://schemas.openxmlformats.org/spreadsheetml/2006/main" count="824" uniqueCount="282">
  <si>
    <t>MALAYSIA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</si>
  <si>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</si>
  <si>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</si>
  <si>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</si>
  <si>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</si>
  <si>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</si>
  <si>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</si>
  <si>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</si>
  <si>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</si>
  <si>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</si>
  <si>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 xml:space="preserve">Sabah </t>
  </si>
  <si>
    <t>Sarawak</t>
  </si>
  <si>
    <t>Selangor</t>
  </si>
  <si>
    <t>Terengganu</t>
  </si>
  <si>
    <t>W.P. Kuala Lumpur</t>
  </si>
  <si>
    <t>W.P. Labuan</t>
  </si>
  <si>
    <t>W.P. Putrajaya</t>
  </si>
  <si>
    <t>Sumber: Laporan Survei Tenaga Buruh, DOSM</t>
  </si>
  <si>
    <t>Source: Labour Force Survey Report, DOSM</t>
  </si>
  <si>
    <t>15−24</t>
  </si>
  <si>
    <t>15−64</t>
  </si>
  <si>
    <t>Sumber: Kementerian Pendidikan Malaysia</t>
  </si>
  <si>
    <t>Source: Ministry of Education, Malaysia</t>
  </si>
  <si>
    <t>Tiada pendidikan rasmi</t>
  </si>
  <si>
    <t>No formal education</t>
  </si>
  <si>
    <t>Rendah</t>
  </si>
  <si>
    <t>Primary</t>
  </si>
  <si>
    <t>Menengah</t>
  </si>
  <si>
    <t>Secondary</t>
  </si>
  <si>
    <t>Tertiari</t>
  </si>
  <si>
    <t>Tertiary</t>
  </si>
  <si>
    <t>Peringkat rendah</t>
  </si>
  <si>
    <t>Primary level</t>
  </si>
  <si>
    <t>Peringkat menengah</t>
  </si>
  <si>
    <t>Secondary level</t>
  </si>
  <si>
    <t>Peringkat tertiari</t>
  </si>
  <si>
    <t>Tertiary level</t>
  </si>
  <si>
    <t>Program Asas</t>
  </si>
  <si>
    <t>General Programmes</t>
  </si>
  <si>
    <t>Pendidikan</t>
  </si>
  <si>
    <t>Education</t>
  </si>
  <si>
    <t xml:space="preserve">Sastera dan Kemanusiaan </t>
  </si>
  <si>
    <t>Arts and Humanities</t>
  </si>
  <si>
    <t>Social Sciences, Business and Law</t>
  </si>
  <si>
    <t xml:space="preserve">Sains, Matematik dan Komputer </t>
  </si>
  <si>
    <t>Science, Mathematics and Computing</t>
  </si>
  <si>
    <t>Pertanian dan Veterinar</t>
  </si>
  <si>
    <t>Agriculture and Veterinary</t>
  </si>
  <si>
    <t xml:space="preserve">Kesihatan dan Kebajikan </t>
  </si>
  <si>
    <t>Health and Welfare</t>
  </si>
  <si>
    <t xml:space="preserve">Perkhidmatan </t>
  </si>
  <si>
    <t>Services</t>
  </si>
  <si>
    <t>Politeknik</t>
  </si>
  <si>
    <t>Polytechnic</t>
  </si>
  <si>
    <t>Kolej Komuniti</t>
  </si>
  <si>
    <t xml:space="preserve">Institute of Teacher Education </t>
  </si>
  <si>
    <t>Primary to Lower Secondary</t>
  </si>
  <si>
    <t>Menengah Rendah ke Menengah Atas</t>
  </si>
  <si>
    <t xml:space="preserve">Lower Secondary to Upper Secondary </t>
  </si>
  <si>
    <t xml:space="preserve">Upper Secondary to Post Secondary </t>
  </si>
  <si>
    <t>Education Completion Rate</t>
  </si>
  <si>
    <t>Perbelanjaan pendidikan awam (peratusan daripada jumlah perbelanjaan pendidikan)</t>
  </si>
  <si>
    <t>Peratus jumlah perbelanjaan pendidikan sebenar berbanding jumlah perbelanjaan kerajaan</t>
  </si>
  <si>
    <t xml:space="preserve">Kejuruteraan, Pembuatan dan Pembinaan </t>
  </si>
  <si>
    <t>Engineering, Manufacturing and Construction</t>
  </si>
  <si>
    <t xml:space="preserve">Jumlah                                       </t>
  </si>
  <si>
    <t xml:space="preserve"> (%)</t>
  </si>
  <si>
    <t>('000)</t>
  </si>
  <si>
    <t>Universiti Awam</t>
  </si>
  <si>
    <t>Public University</t>
  </si>
  <si>
    <t>Institusi Pendidikan Tinggi Swasta</t>
  </si>
  <si>
    <t>Private Higher Education Institutions</t>
  </si>
  <si>
    <t>n.a</t>
  </si>
  <si>
    <t>Perbelanjaan pendidikan merujuk kepada Perbelanjaan Penggunaan Akhir Kerajaan dalam Pendidikan pada harga malar 2015=100</t>
  </si>
  <si>
    <t>Includes W.P. Putrajaya</t>
  </si>
  <si>
    <t xml:space="preserve">  Includes W.P. Putrajaya</t>
  </si>
  <si>
    <t xml:space="preserve">   Includes English Language Teaching Centres </t>
  </si>
  <si>
    <t xml:space="preserve">Percentage of actual total expenditure on educatian relative to total  expenditure against total government expenditure   </t>
  </si>
  <si>
    <t xml:space="preserve">Total expenditure on education (percentage of GDP)   </t>
  </si>
  <si>
    <t xml:space="preserve">Total expenditure on public education (percentage of total expenditure on education )   </t>
  </si>
  <si>
    <t>:</t>
  </si>
  <si>
    <t>Jadual 2.1</t>
  </si>
  <si>
    <t>Table 2.1</t>
  </si>
  <si>
    <t>Jadual 2.2</t>
  </si>
  <si>
    <t>Table 2.2</t>
  </si>
  <si>
    <t>Jadual 2.3</t>
  </si>
  <si>
    <t>Table 2.3</t>
  </si>
  <si>
    <t>Jadual 2.4</t>
  </si>
  <si>
    <t>Table 2.4</t>
  </si>
  <si>
    <t>Jadual 2.5</t>
  </si>
  <si>
    <t>Table 2.5</t>
  </si>
  <si>
    <t>Jadual 2.6</t>
  </si>
  <si>
    <t>Table 2.6</t>
  </si>
  <si>
    <t>Table 2.7</t>
  </si>
  <si>
    <t>Jadual 2.7</t>
  </si>
  <si>
    <t>Table 2.8</t>
  </si>
  <si>
    <t>Jadual 2.8</t>
  </si>
  <si>
    <t>Jadual 2.9</t>
  </si>
  <si>
    <t>Table 2.9</t>
  </si>
  <si>
    <t>Jadual 2.10</t>
  </si>
  <si>
    <t>Table 2.10</t>
  </si>
  <si>
    <t>Jadual 2.11</t>
  </si>
  <si>
    <t>Table 2.11</t>
  </si>
  <si>
    <t>Jadual 2.12</t>
  </si>
  <si>
    <t>Table 2.12</t>
  </si>
  <si>
    <t>Jadual 2.13</t>
  </si>
  <si>
    <t>Table 2.13</t>
  </si>
  <si>
    <t>Jadual 2.14</t>
  </si>
  <si>
    <t>Table 2.14</t>
  </si>
  <si>
    <t>Jadual 2.15</t>
  </si>
  <si>
    <t>Table 2.15</t>
  </si>
  <si>
    <t>Community College</t>
  </si>
  <si>
    <t>Jadual 2.16</t>
  </si>
  <si>
    <t>Table 2.16</t>
  </si>
  <si>
    <t>Jadual 2.17</t>
  </si>
  <si>
    <t>Table 2.17</t>
  </si>
  <si>
    <t>Rendah ke Menengah Rendah</t>
  </si>
  <si>
    <t>Peringkat Rendah</t>
  </si>
  <si>
    <t>Primary Level</t>
  </si>
  <si>
    <t>Peringkat Menengah</t>
  </si>
  <si>
    <t>Secondary Level</t>
  </si>
  <si>
    <t xml:space="preserve">Sains Sosial, Perniagaan dan Perundangan </t>
  </si>
  <si>
    <t>Perbelanjaan pendidikan keseluruhan (peratusan daripada KDNK)</t>
  </si>
  <si>
    <t>Kementerian Pendidikan Malaysia</t>
  </si>
  <si>
    <t xml:space="preserve"> Ministry of Education, Malaysia</t>
  </si>
  <si>
    <t>National Accounts of Gross Domestic, DOSM</t>
  </si>
  <si>
    <t>Ministry of Education, Malaysia</t>
  </si>
  <si>
    <t>Universiti Malaya</t>
  </si>
  <si>
    <t>Universiti Sains Malaysia</t>
  </si>
  <si>
    <t>Universiti Kebangsaan Malaysia</t>
  </si>
  <si>
    <t>Universiti Putra Malaysia</t>
  </si>
  <si>
    <t>Universiti Teknologi Malaysia</t>
  </si>
  <si>
    <t>Universiti Islam Antarabangsa Malaysia</t>
  </si>
  <si>
    <t>Universiti Utara Malaysia</t>
  </si>
  <si>
    <t>Universiti Malaysia Sarawak</t>
  </si>
  <si>
    <t>Universiti Malaysia Sabah</t>
  </si>
  <si>
    <t>Universiti Pendidikan Sultan Idris</t>
  </si>
  <si>
    <t>Universiti Sains Islam Malaysia</t>
  </si>
  <si>
    <t>Universiti Malaysia Terengganu</t>
  </si>
  <si>
    <t>Universiti Tun Hussein Onn Malaysia</t>
  </si>
  <si>
    <t>Universiti Teknikal Malaysia Melaka</t>
  </si>
  <si>
    <t>Universiti Malaysia Perlis</t>
  </si>
  <si>
    <t>Universiti Sultan Zainal Abidin</t>
  </si>
  <si>
    <t>Universiti Malaysia Kelantan</t>
  </si>
  <si>
    <t>Universiti Pertahanan Nasional Malaysia</t>
  </si>
  <si>
    <t>15+</t>
  </si>
  <si>
    <t>Transition Rate</t>
  </si>
  <si>
    <r>
      <t>Kadar Peralihan</t>
    </r>
    <r>
      <rPr>
        <sz val="12"/>
        <rFont val="Segoe UI"/>
        <family val="2"/>
      </rPr>
      <t/>
    </r>
  </si>
  <si>
    <t>Source: Ministry of Higher Education, Malaysia</t>
  </si>
  <si>
    <t>Data adalah merangkumi bidang NEC 40-tidak ditakrifkan lagi c ,42-Sains Hayat, 44-Sains Fizikal, 52-Kejuruteraan &amp; perdagangan kejuruteraan, 54-Pembuatan &amp; pemprosesan dan 58-Seni bina &amp; bangunan</t>
  </si>
  <si>
    <t>Data includes NEC 40-not further defined c ,42-Life Sciences, 44-Physical Sciences, 52-Engineering &amp; engineering trades, 54-Manufacturing &amp; processing and 58-Architecture &amp; building</t>
  </si>
  <si>
    <t>Universiti Teknologi MARA</t>
  </si>
  <si>
    <t>Universiti Malaysia Pahang Al-Sultan Abdullah</t>
  </si>
  <si>
    <t>Education expenditure refers to the Government's Final Consumption Expenditure in Education at constant prices 2015 = 100</t>
  </si>
  <si>
    <t xml:space="preserve">  Data for secondary school refers to enrollment of form 1 to form 5 students</t>
  </si>
  <si>
    <t xml:space="preserve">  Include W.P. Putrajaya</t>
  </si>
  <si>
    <t xml:space="preserve">  Covers government and government-aided schools only</t>
  </si>
  <si>
    <t>Sumber: Jabatan Pendidikan Tinggi</t>
  </si>
  <si>
    <t>Source: Department of Higher Education</t>
  </si>
  <si>
    <t>Program dan Kelayakan Generik</t>
  </si>
  <si>
    <t>Generic Programmes and Qualifications</t>
  </si>
  <si>
    <t>-</t>
  </si>
  <si>
    <t>Sains Sosial, Kewartawanan dan Maklumat</t>
  </si>
  <si>
    <t>Social Sciences, Journalism and Information</t>
  </si>
  <si>
    <t>Perniagaan, Pentadbiran dan Perundangan</t>
  </si>
  <si>
    <t>Business, Administration and Law</t>
  </si>
  <si>
    <t>Sains Semulajadi, Matematik dan Statistik</t>
  </si>
  <si>
    <t>Natural Sciences, Mathematics and Statistics</t>
  </si>
  <si>
    <t>Teknologi Maklumat dan Komunikasi</t>
  </si>
  <si>
    <t>Information and Communication Technologies</t>
  </si>
  <si>
    <t>Pertanian, Perhutanan, Perikanan dan Veterinar</t>
  </si>
  <si>
    <t>Agriculture, Forestry, Fisheries and Veterinary</t>
  </si>
  <si>
    <t xml:space="preserve"> </t>
  </si>
  <si>
    <t>Sumber: Kementerian Pendidikan Tinggi, Malaysia</t>
  </si>
  <si>
    <t>Ministry of Higher Education, Malaysia</t>
  </si>
  <si>
    <t>Statistik perbelanjaan pendidikan, Malaysia, 2022–2024</t>
  </si>
  <si>
    <t>Statistics on education expenditure, Malaysia, 2022–2024</t>
  </si>
  <si>
    <t>Kadar literasi mengikut negeri, jantina dan kumpulan umur, Malaysia, 2022–2024</t>
  </si>
  <si>
    <t>Literacy rate by state, sex and age group, Malaysia, 2022–2024</t>
  </si>
  <si>
    <t>Penduduk bekerja mengikut pencapaian pendidikan dan jantina, Malaysia, 2022–2024</t>
  </si>
  <si>
    <t>Employed persons by educational attainment and sex, Malaysia, 2022–2024</t>
  </si>
  <si>
    <t>Indeks pariti gender, Malaysia, 2022–2024</t>
  </si>
  <si>
    <t>Gender parity index, Malaysia, 2022–2024</t>
  </si>
  <si>
    <t>Bilangan enrolmen peringkat rendah dan menengah di sekolah kerajaan &amp; bantuan kerajaan mengikut negeri dan jantina, Malaysia, 2022–2024</t>
  </si>
  <si>
    <t>Number of enrolment at primary and secondary level in government &amp; government-aided schools by state and sex, Malaysia, 2022–2024</t>
  </si>
  <si>
    <t>Bilangan enrolmen pendidikan tinggi mengikut negeri dan jantina, Malaysia, 2022–2024</t>
  </si>
  <si>
    <t>Number of enrolment at higher education by state and sex, Malaysia, 2022–2024</t>
  </si>
  <si>
    <t>Kadar enrolmen kasar peringkat prasekolah mengikut negeri dan jantina, Malaysia, 2022–2024</t>
  </si>
  <si>
    <t>Gross enrolment rate at pre-school level by state and sex, Malaysia, 2022–2024</t>
  </si>
  <si>
    <t>Kadar enrolmen kasar peringkat rendah mengikut negeri dan jantina, Malaysia, 2022–2024</t>
  </si>
  <si>
    <t>Gross enrolment rate at primary level by state and sex, Malaysia, 2022–2024</t>
  </si>
  <si>
    <t>Kadar enrolmen kasar peringkat menengah mengikut negeri dan jantina, Malaysia, 2022–2024</t>
  </si>
  <si>
    <t>Gross enrolment rate at secondary level by state and sex, Malaysia, 2022–2024</t>
  </si>
  <si>
    <t>Kadar enrolmen kasar pendidikan tinggi mengikut negeri dan jantina, Malaysia, 2022–2024</t>
  </si>
  <si>
    <t>Gross enrolment rate at higher education by state and sex, Malaysia, 2022–2024</t>
  </si>
  <si>
    <t>Kadar pengambilan kasar peringkat rendah mengikut negeri dan jantina, Malaysia, 2022–2024</t>
  </si>
  <si>
    <t>Gross intake rate at primary level by state and sex, Malaysia, 2022–2024</t>
  </si>
  <si>
    <t>Kadar pengambilan kasar peringkat menengah mengikut negeri dan jantina, Malaysia, 2022–2024</t>
  </si>
  <si>
    <t>Gross intake rate at secondary level by state and sex, Malaysia, 2022–2024</t>
  </si>
  <si>
    <t>Kadar peralihan dan kadar tamat pendidikan di sekolah kerajaan &amp; bantuan kerajaan, Malaysia, 2022–2024</t>
  </si>
  <si>
    <t>Transition rate and education completion rate in government &amp; government–aided schools, Malaysia, 2022–2024</t>
  </si>
  <si>
    <t>Bilangan enrolmen mengikut bidang pengajian di institusi pendidikan tinggi dan jantina, Malaysia, 2022–2024</t>
  </si>
  <si>
    <t>Number of enrolment by field of study at higher education institution and sex, Malaysia, 2022–2024</t>
  </si>
  <si>
    <t>Bilangan enrolmen mengikut bidang pengajian di institusi pendidikan tinggi dan jantina, Malaysia, 2022–2024 (samb.)</t>
  </si>
  <si>
    <t>Number of enrolment by field of study at higher education institution and sex, Malaysia, 2022–2024 (cont'd)</t>
  </si>
  <si>
    <t>Bilangan staf akademik dan pelajar di institusi pendidikan tinggi mengikut jantina, Malaysia, 2022–2024</t>
  </si>
  <si>
    <t>Number of academic staffs and students at higher education institutions by sex, Malaysia, 2022–2024</t>
  </si>
  <si>
    <t>Bilangan graduan wanita di institusi pendidikan tinggi dalam bidang sains, kejuruteraan, pembuatan dan pembinaan mengikut negeri, Malaysia, 2022–2024</t>
  </si>
  <si>
    <t>Number of female graduates at higher education institutions in the field of science, engineering, manufacturing and construction by state, Malaysia, 2022–2024</t>
  </si>
  <si>
    <t>Number of academic staffs at higher education institutions by state and sex, Malaysia, 2022–2024</t>
  </si>
  <si>
    <t>Ahli Majlis Perwakilan Pelajar di Universiti Awam mengikut universiti dan jantina, Malaysia, 2022–2024</t>
  </si>
  <si>
    <t>Student Council Members in Public University by university and sex, Malaysia, 2022–2024</t>
  </si>
  <si>
    <t>Data seperti pada 30 Jun bagi setiap tahun</t>
  </si>
  <si>
    <t>Sabah</t>
  </si>
  <si>
    <t>Menengah Atas ke Lepas Menengah</t>
  </si>
  <si>
    <t>Jadual 2.19</t>
  </si>
  <si>
    <t>Table 2.19</t>
  </si>
  <si>
    <t>Data adalah seperti 30 Jun 2024</t>
  </si>
  <si>
    <t>Data as 30th June 2024</t>
  </si>
  <si>
    <t>Kanak-kanak prasekolah yang berumur 3+, 4+ dan 5+ tahun mengikut data seperti 30 Jun 2022, 2023 dan 2024</t>
  </si>
  <si>
    <t>Preschool children aged 3+,4+ and 5+ years old as 30th June 2022, 2023 dan 2024</t>
  </si>
  <si>
    <t>Bilangan enrolmen peringkat prasekolah mengikut negeri dan jantina, Malaysia, 2022–2024</t>
  </si>
  <si>
    <t>Number of enrolment at pre-school level by state and sex, Malaysia, 2022–2024</t>
  </si>
  <si>
    <t xml:space="preserve">4 - Sains, Matematik dan Komputer
</t>
  </si>
  <si>
    <t>5 - Kejuruteraan, Pembuatan dan Pembinaan</t>
  </si>
  <si>
    <t xml:space="preserve">05 - Sains Semulajadi, Matematik dan Statistik 
</t>
  </si>
  <si>
    <t>07 - Kejuruteraan, Pembuatan dan Pembinaan</t>
  </si>
  <si>
    <t>NEC 2010 (4 &amp; 5) - Data 2022</t>
  </si>
  <si>
    <t>NEC 2020 (05 &amp; 07) - Data 2023 dan 2024</t>
  </si>
  <si>
    <r>
      <t xml:space="preserve">Sumber/ </t>
    </r>
    <r>
      <rPr>
        <i/>
        <sz val="12"/>
        <rFont val="Segoe UI"/>
        <family val="2"/>
      </rPr>
      <t>Sources</t>
    </r>
    <r>
      <rPr>
        <b/>
        <sz val="12"/>
        <rFont val="Segoe UI"/>
        <family val="2"/>
      </rPr>
      <t>: Bahagian Perangkaan Akaun Negara, DOSM</t>
    </r>
  </si>
  <si>
    <r>
      <t>2022</t>
    </r>
    <r>
      <rPr>
        <b/>
        <vertAlign val="superscript"/>
        <sz val="12"/>
        <rFont val="Segoe UI"/>
        <family val="2"/>
      </rPr>
      <t>r</t>
    </r>
  </si>
  <si>
    <r>
      <t>2023</t>
    </r>
    <r>
      <rPr>
        <b/>
        <vertAlign val="superscript"/>
        <sz val="12"/>
        <rFont val="Segoe UI"/>
        <family val="2"/>
      </rPr>
      <t>r</t>
    </r>
  </si>
  <si>
    <r>
      <t>W.P. Kuala Lumpur</t>
    </r>
    <r>
      <rPr>
        <vertAlign val="superscript"/>
        <sz val="12"/>
        <rFont val="Segoe UI"/>
        <family val="2"/>
      </rPr>
      <t>1</t>
    </r>
  </si>
  <si>
    <r>
      <rPr>
        <b/>
        <vertAlign val="superscript"/>
        <sz val="12"/>
        <rFont val="Segoe UI"/>
        <family val="2"/>
      </rPr>
      <t>r</t>
    </r>
    <r>
      <rPr>
        <b/>
        <sz val="12"/>
        <rFont val="Segoe UI"/>
        <family val="2"/>
      </rPr>
      <t xml:space="preserve"> Dikemaskini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2"/>
        <rFont val="Segoe UI"/>
        <family val="2"/>
      </rPr>
      <t>Revised</t>
    </r>
  </si>
  <si>
    <r>
      <rPr>
        <b/>
        <vertAlign val="superscript"/>
        <sz val="12"/>
        <rFont val="Segoe UI"/>
        <family val="2"/>
      </rPr>
      <t xml:space="preserve">1 </t>
    </r>
    <r>
      <rPr>
        <b/>
        <sz val="12"/>
        <rFont val="Segoe UI"/>
        <family val="2"/>
      </rPr>
      <t>Termasuk W.P. Putrajaya</t>
    </r>
  </si>
  <si>
    <r>
      <t>Institut Pendidikan Guru</t>
    </r>
    <r>
      <rPr>
        <b/>
        <vertAlign val="superscript"/>
        <sz val="12"/>
        <rFont val="Segoe UI"/>
        <family val="2"/>
      </rPr>
      <t xml:space="preserve"> 1</t>
    </r>
  </si>
  <si>
    <r>
      <rPr>
        <b/>
        <vertAlign val="superscript"/>
        <sz val="12"/>
        <rFont val="Segoe UI"/>
        <family val="2"/>
      </rPr>
      <t>1</t>
    </r>
    <r>
      <rPr>
        <b/>
        <sz val="12"/>
        <rFont val="Segoe UI"/>
        <family val="2"/>
      </rPr>
      <t xml:space="preserve"> Termasuk Pusat Pengajian Bahasa Inggeris </t>
    </r>
  </si>
  <si>
    <r>
      <t>Kadar Tamat Pendidikan</t>
    </r>
    <r>
      <rPr>
        <b/>
        <vertAlign val="superscript"/>
        <sz val="12"/>
        <rFont val="Segoe UI"/>
        <family val="2"/>
      </rPr>
      <t>1</t>
    </r>
  </si>
  <si>
    <r>
      <rPr>
        <b/>
        <vertAlign val="superscript"/>
        <sz val="12"/>
        <rFont val="Segoe UI"/>
        <family val="2"/>
      </rPr>
      <t>1</t>
    </r>
    <r>
      <rPr>
        <b/>
        <sz val="12"/>
        <rFont val="Segoe UI"/>
        <family val="2"/>
      </rPr>
      <t>Hanya mengambil kira sekolah kerajaan dan sekolah bantuan kerajaan</t>
    </r>
  </si>
  <si>
    <r>
      <rPr>
        <b/>
        <vertAlign val="superscript"/>
        <sz val="12"/>
        <rFont val="Segoe UI"/>
        <family val="2"/>
      </rPr>
      <t>1</t>
    </r>
    <r>
      <rPr>
        <b/>
        <sz val="12"/>
        <rFont val="Segoe UI"/>
        <family val="2"/>
      </rPr>
      <t xml:space="preserve"> Termasuk W.P. Putrajaya</t>
    </r>
  </si>
  <si>
    <r>
      <rPr>
        <b/>
        <vertAlign val="superscript"/>
        <sz val="12"/>
        <rFont val="Segoe UI"/>
        <family val="2"/>
      </rPr>
      <t>2</t>
    </r>
    <r>
      <rPr>
        <b/>
        <sz val="12"/>
        <rFont val="Segoe UI"/>
        <family val="2"/>
      </rPr>
      <t xml:space="preserve"> Data sekolah menengah adalah enrolmen murid tingkatan 1 hingga 5</t>
    </r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</si>
  <si>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Notes</t>
    </r>
    <r>
      <rPr>
        <sz val="12"/>
        <rFont val="Segoe UI"/>
        <family val="2"/>
      </rPr>
      <t>:</t>
    </r>
  </si>
  <si>
    <r>
      <t xml:space="preserve">Indikator
</t>
    </r>
    <r>
      <rPr>
        <i/>
        <sz val="11"/>
        <rFont val="Segoe UI"/>
        <family val="2"/>
      </rPr>
      <t>Indicator</t>
    </r>
  </si>
  <si>
    <r>
      <t xml:space="preserve">Negeri
</t>
    </r>
    <r>
      <rPr>
        <i/>
        <sz val="11"/>
        <rFont val="Segoe UI"/>
        <family val="2"/>
      </rPr>
      <t>State</t>
    </r>
  </si>
  <si>
    <r>
      <t>Perempuan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Female</t>
    </r>
  </si>
  <si>
    <r>
      <t>Lelaki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</si>
  <si>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rPr>
        <b/>
        <vertAlign val="superscript"/>
        <sz val="12"/>
        <rFont val="Segoe UI"/>
        <family val="2"/>
      </rPr>
      <t>r</t>
    </r>
    <r>
      <rPr>
        <i/>
        <sz val="12"/>
        <rFont val="Segoe UI"/>
        <family val="2"/>
      </rPr>
      <t xml:space="preserve"> </t>
    </r>
    <r>
      <rPr>
        <b/>
        <sz val="12"/>
        <rFont val="Segoe UI"/>
        <family val="2"/>
      </rPr>
      <t>Dikemaskini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Revised</t>
    </r>
  </si>
  <si>
    <r>
      <t xml:space="preserve">Rendah
</t>
    </r>
    <r>
      <rPr>
        <i/>
        <sz val="11"/>
        <rFont val="Segoe UI"/>
        <family val="2"/>
      </rPr>
      <t>Primary</t>
    </r>
  </si>
  <si>
    <r>
      <rPr>
        <b/>
        <sz val="12"/>
        <rFont val="Segoe UI"/>
        <family val="2"/>
      </rPr>
      <t>Menengah</t>
    </r>
    <r>
      <rPr>
        <b/>
        <vertAlign val="superscript"/>
        <sz val="12"/>
        <rFont val="Segoe UI"/>
        <family val="2"/>
      </rPr>
      <t>2</t>
    </r>
    <r>
      <rPr>
        <b/>
        <sz val="12"/>
        <rFont val="Segoe UI"/>
        <family val="2"/>
      </rPr>
      <t xml:space="preserve">
</t>
    </r>
    <r>
      <rPr>
        <i/>
        <sz val="11"/>
        <rFont val="Segoe UI"/>
        <family val="2"/>
      </rPr>
      <t>Secondary</t>
    </r>
  </si>
  <si>
    <r>
      <t>Lelaki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Male</t>
    </r>
  </si>
  <si>
    <r>
      <t>Data as at 30</t>
    </r>
    <r>
      <rPr>
        <i/>
        <vertAlign val="superscript"/>
        <sz val="11"/>
        <rFont val="Segoe UI"/>
        <family val="2"/>
      </rPr>
      <t>th</t>
    </r>
    <r>
      <rPr>
        <i/>
        <sz val="11"/>
        <rFont val="Segoe UI"/>
        <family val="2"/>
      </rPr>
      <t xml:space="preserve"> June for each year</t>
    </r>
  </si>
  <si>
    <r>
      <t xml:space="preserve">Indeks pariti gender
</t>
    </r>
    <r>
      <rPr>
        <i/>
        <sz val="11"/>
        <rFont val="Segoe UI"/>
        <family val="2"/>
      </rPr>
      <t>Gender parity index</t>
    </r>
  </si>
  <si>
    <r>
      <t xml:space="preserve">Pencapaian pendidikan
</t>
    </r>
    <r>
      <rPr>
        <i/>
        <sz val="11"/>
        <rFont val="Segoe UI"/>
        <family val="2"/>
      </rPr>
      <t>Educational attainment</t>
    </r>
  </si>
  <si>
    <r>
      <t xml:space="preserve">Jumlah
</t>
    </r>
    <r>
      <rPr>
        <i/>
        <sz val="11"/>
        <rFont val="Segoe UI"/>
        <family val="2"/>
      </rPr>
      <t>Total</t>
    </r>
  </si>
  <si>
    <r>
      <t xml:space="preserve">Perempuan
</t>
    </r>
    <r>
      <rPr>
        <i/>
        <sz val="11"/>
        <rFont val="Segoe UI"/>
        <family val="2"/>
      </rPr>
      <t>Female</t>
    </r>
  </si>
  <si>
    <r>
      <t xml:space="preserve">Lelaki
</t>
    </r>
    <r>
      <rPr>
        <i/>
        <sz val="11"/>
        <rFont val="Segoe UI"/>
        <family val="2"/>
      </rPr>
      <t>Male</t>
    </r>
  </si>
  <si>
    <r>
      <t xml:space="preserve">Total          </t>
    </r>
    <r>
      <rPr>
        <b/>
        <sz val="11"/>
        <rFont val="Segoe UI"/>
        <family val="2"/>
      </rPr>
      <t xml:space="preserve">                                   </t>
    </r>
  </si>
  <si>
    <r>
      <t xml:space="preserve">Negeri 
</t>
    </r>
    <r>
      <rPr>
        <i/>
        <sz val="11"/>
        <rFont val="Segoe UI"/>
        <family val="2"/>
      </rPr>
      <t>State</t>
    </r>
  </si>
  <si>
    <r>
      <t xml:space="preserve">Universiti
</t>
    </r>
    <r>
      <rPr>
        <i/>
        <sz val="11"/>
        <rFont val="Segoe UI"/>
        <family val="2"/>
      </rPr>
      <t>University</t>
    </r>
  </si>
  <si>
    <r>
      <t xml:space="preserve">Jumlah/ </t>
    </r>
    <r>
      <rPr>
        <i/>
        <sz val="11"/>
        <rFont val="Segoe UI"/>
        <family val="2"/>
      </rPr>
      <t>Total</t>
    </r>
    <r>
      <rPr>
        <i/>
        <sz val="12"/>
        <rFont val="Segoe UI"/>
        <family val="2"/>
      </rPr>
      <t xml:space="preserve">           </t>
    </r>
    <r>
      <rPr>
        <b/>
        <sz val="12"/>
        <rFont val="Segoe UI"/>
        <family val="2"/>
      </rPr>
      <t xml:space="preserve">                        </t>
    </r>
  </si>
  <si>
    <r>
      <t>Bil.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 xml:space="preserve"> </t>
    </r>
    <r>
      <rPr>
        <i/>
        <sz val="11"/>
        <rFont val="Segoe UI"/>
        <family val="2"/>
      </rPr>
      <t>Num</t>
    </r>
    <r>
      <rPr>
        <i/>
        <sz val="12"/>
        <rFont val="Segoe UI"/>
        <family val="2"/>
      </rPr>
      <t>.</t>
    </r>
  </si>
  <si>
    <r>
      <t xml:space="preserve">Bidang pengajian
</t>
    </r>
    <r>
      <rPr>
        <i/>
        <sz val="11"/>
        <rFont val="Segoe UI"/>
        <family val="2"/>
      </rPr>
      <t>Field of study</t>
    </r>
  </si>
  <si>
    <r>
      <t xml:space="preserve">Institusi Pendidikan Tinggi Awam
</t>
    </r>
    <r>
      <rPr>
        <i/>
        <sz val="11"/>
        <rFont val="Segoe UI"/>
        <family val="2"/>
      </rPr>
      <t>Public Higher Education Institutions</t>
    </r>
  </si>
  <si>
    <r>
      <rPr>
        <b/>
        <sz val="12"/>
        <rFont val="Segoe UI"/>
        <family val="2"/>
      </rPr>
      <t xml:space="preserve">Institusi Pendidikan Tinggi Swasta
</t>
    </r>
    <r>
      <rPr>
        <i/>
        <sz val="11"/>
        <rFont val="Segoe UI"/>
        <family val="2"/>
      </rPr>
      <t>Private Higher Education Institutions</t>
    </r>
  </si>
  <si>
    <r>
      <t xml:space="preserve">Lelaki/ </t>
    </r>
    <r>
      <rPr>
        <i/>
        <sz val="11"/>
        <rFont val="Segoe UI"/>
        <family val="2"/>
      </rPr>
      <t>Male</t>
    </r>
  </si>
  <si>
    <r>
      <t xml:space="preserve">
Jenis institusi pendidikan tinggi
</t>
    </r>
    <r>
      <rPr>
        <i/>
        <sz val="11"/>
        <rFont val="Segoe UI"/>
        <family val="2"/>
      </rPr>
      <t>Types of higher education institutios</t>
    </r>
  </si>
  <si>
    <r>
      <t xml:space="preserve">Staf Akademik
</t>
    </r>
    <r>
      <rPr>
        <i/>
        <sz val="11"/>
        <rFont val="Segoe UI"/>
        <family val="2"/>
      </rPr>
      <t>Academic Staffs</t>
    </r>
  </si>
  <si>
    <r>
      <rPr>
        <b/>
        <sz val="12"/>
        <rFont val="Segoe UI"/>
        <family val="2"/>
      </rPr>
      <t xml:space="preserve">Pelajar
</t>
    </r>
    <r>
      <rPr>
        <i/>
        <sz val="11"/>
        <rFont val="Segoe UI"/>
        <family val="2"/>
      </rPr>
      <t>Students</t>
    </r>
  </si>
  <si>
    <r>
      <rPr>
        <b/>
        <sz val="12"/>
        <rFont val="Segoe UI"/>
        <family val="2"/>
      </rPr>
      <t>Jumlah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Total</t>
    </r>
  </si>
  <si>
    <r>
      <rPr>
        <b/>
        <sz val="12"/>
        <rFont val="Segoe UI"/>
        <family val="2"/>
      </rPr>
      <t>Perempuan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Girl</t>
    </r>
  </si>
  <si>
    <r>
      <rPr>
        <b/>
        <sz val="12"/>
        <rFont val="Segoe UI"/>
        <family val="2"/>
      </rPr>
      <t>Lelaki</t>
    </r>
    <r>
      <rPr>
        <sz val="12"/>
        <rFont val="Segoe UI"/>
        <family val="2"/>
      </rPr>
      <t xml:space="preserve">
</t>
    </r>
    <r>
      <rPr>
        <i/>
        <sz val="11"/>
        <rFont val="Segoe UI"/>
        <family val="2"/>
      </rPr>
      <t>Boy</t>
    </r>
  </si>
  <si>
    <r>
      <t>Sumber</t>
    </r>
    <r>
      <rPr>
        <sz val="12"/>
        <rFont val="Segoe UI"/>
        <family val="2"/>
      </rPr>
      <t>/</t>
    </r>
    <r>
      <rPr>
        <i/>
        <sz val="12"/>
        <rFont val="Segoe UI"/>
        <family val="2"/>
      </rPr>
      <t>Source</t>
    </r>
    <r>
      <rPr>
        <b/>
        <sz val="12"/>
        <rFont val="Segoe UI"/>
        <family val="2"/>
      </rPr>
      <t>: Kementerian Pendidikan Tinggi, Malaysia</t>
    </r>
  </si>
  <si>
    <r>
      <t xml:space="preserve">Sumber/ </t>
    </r>
    <r>
      <rPr>
        <i/>
        <sz val="11"/>
        <rFont val="Segoe UI"/>
        <family val="2"/>
      </rPr>
      <t>Sources</t>
    </r>
    <r>
      <rPr>
        <b/>
        <sz val="12"/>
        <rFont val="Segoe UI"/>
        <family val="2"/>
      </rPr>
      <t>: Kementerian Pendidikan Tinggi, Malaysia</t>
    </r>
  </si>
  <si>
    <t>Jadual 2.18</t>
  </si>
  <si>
    <t>Table 2.18</t>
  </si>
  <si>
    <t>Proksi menggunakan Survei Tenaga Buruh (merujuk kepada orang yang pernah bersekolah iaitu mereka yang sedang bersekolah atau tamat persekolahan)</t>
  </si>
  <si>
    <t>Proxy using Labour Force Survey (refers to persons who have ever been to school that is, those currently schooling or completed schooling)</t>
  </si>
  <si>
    <t xml:space="preserve"> Source: Ministry of Higher Education, Malaysia</t>
  </si>
  <si>
    <r>
      <t>Nota</t>
    </r>
    <r>
      <rPr>
        <sz val="12"/>
        <rFont val="Segoe UI"/>
        <family val="2"/>
      </rPr>
      <t>/</t>
    </r>
    <r>
      <rPr>
        <b/>
        <sz val="12"/>
        <rFont val="Segoe UI"/>
        <family val="2"/>
      </rPr>
      <t xml:space="preserve"> </t>
    </r>
    <r>
      <rPr>
        <i/>
        <sz val="11"/>
        <rFont val="Segoe UI"/>
        <family val="2"/>
      </rPr>
      <t>Note</t>
    </r>
    <r>
      <rPr>
        <sz val="12"/>
        <rFont val="Segoe UI"/>
        <family val="2"/>
      </rPr>
      <t>:</t>
    </r>
  </si>
  <si>
    <t>Bilangan staf akademik di institusi pendidikan tinggi mengikut negeri dan jantina, Malaysia, 2022–2024</t>
  </si>
  <si>
    <t>Data merangkumi enrolmen pelajar bagi peringkat pengajian Asasi hingga Doktor Falsafah (Ph.D) di Universiti Awam, Institusi Pendidikan Tinggi Swasta (IPTS), Politeknik dan Kolej Komuniti</t>
  </si>
  <si>
    <t>Data included enrolment of Foundation studies to Doctor of Philosophy (Ph.D) in Public Universities, Private Higher Education Institutions, Polytechnics and Community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</si>
</sst>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.00000_)"/>
    <numFmt numFmtId="169" formatCode="0.00_)"/>
    <numFmt numFmtId="170" formatCode="[$-409]d\-mmm\-yy;@"/>
    <numFmt numFmtId="171" formatCode="#,##0.0;[Red]#,##0.0"/>
    <numFmt numFmtId="172" formatCode="#,##0;[Red]#,##0"/>
    <numFmt numFmtId="173" formatCode="_(* #,##0.000_);_(* \(#,##0.000\);_(* &quot;-&quot;??_);_(@_)"/>
    <numFmt numFmtId="174" formatCode="0.000"/>
    <numFmt numFmtId="17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Courier"/>
      <family val="3"/>
    </font>
    <font>
      <sz val="12"/>
      <name val="Segoe UI"/>
      <family val="2"/>
    </font>
    <font>
      <sz val="11"/>
      <color theme="1"/>
      <name val="Arial"/>
      <family val="2"/>
    </font>
    <font>
      <i/>
      <sz val="12"/>
      <name val="Segoe UI"/>
      <family val="2"/>
    </font>
    <font>
      <b/>
      <sz val="12"/>
      <name val="Segoe UI"/>
      <family val="2"/>
    </font>
    <font>
      <vertAlign val="superscript"/>
      <sz val="12"/>
      <name val="Segoe UI"/>
      <family val="2"/>
    </font>
    <font>
      <b/>
      <vertAlign val="superscript"/>
      <sz val="12"/>
      <name val="Segoe UI"/>
      <family val="2"/>
    </font>
    <font>
      <b/>
      <i/>
      <sz val="12"/>
      <name val="Segoe UI"/>
      <family val="2"/>
    </font>
    <font>
      <i/>
      <sz val="11"/>
      <name val="Segoe UI"/>
      <family val="2"/>
    </font>
    <font>
      <sz val="11"/>
      <name val="Segoe UI"/>
      <family val="2"/>
    </font>
    <font>
      <i/>
      <vertAlign val="superscript"/>
      <sz val="11"/>
      <name val="Segoe UI"/>
      <family val="2"/>
    </font>
    <font>
      <b/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rgb="FFFFD8F0"/>
        <bgColor indexed="64"/>
      </patternFill>
    </fill>
    <fill>
      <patternFill patternType="solid">
        <fgColor rgb="FFEE6EE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24D52"/>
      </bottom>
      <diagonal/>
    </border>
    <border>
      <left/>
      <right/>
      <top/>
      <bottom style="medium">
        <color rgb="FFEE6EE8"/>
      </bottom>
      <diagonal/>
    </border>
    <border>
      <left/>
      <right/>
      <top style="medium">
        <color rgb="FFEE6EE8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556">
    <xf numFmtId="0" fontId="0" fillId="0" borderId="0" xfId="0"/>
    <xf numFmtId="0" fontId="7" fillId="0" borderId="0" xfId="4" applyFont="1" applyFill="1" applyAlignment="1">
      <alignment vertical="top"/>
    </xf>
    <xf numFmtId="0" fontId="7" fillId="0" borderId="0" xfId="0" applyFont="1" applyFill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5" fillId="0" borderId="0" xfId="0" applyFont="1" applyFill="1"/>
    <xf numFmtId="0" fontId="7" fillId="0" borderId="0" xfId="4" applyFont="1" applyFill="1" applyAlignment="1">
      <alignment horizontal="right" vertical="top"/>
    </xf>
    <xf numFmtId="0" fontId="7" fillId="0" borderId="0" xfId="0" applyFont="1" applyFill="1" applyBorder="1" applyAlignment="1">
      <alignment vertical="top"/>
    </xf>
    <xf numFmtId="0" fontId="7" fillId="0" borderId="0" xfId="4" applyFont="1" applyFill="1" applyAlignment="1">
      <alignment horizontal="left" vertical="top" indent="1"/>
    </xf>
    <xf numFmtId="0" fontId="7" fillId="5" borderId="0" xfId="4" applyFont="1" applyFill="1" applyAlignment="1">
      <alignment horizontal="left" vertical="top" indent="1"/>
    </xf>
    <xf numFmtId="0" fontId="7" fillId="0" borderId="0" xfId="4" applyFont="1" applyFill="1" applyAlignment="1">
      <alignment horizontal="left" vertical="top"/>
    </xf>
    <xf numFmtId="0" fontId="7" fillId="0" borderId="0" xfId="15" applyFont="1" applyFill="1" applyAlignment="1">
      <alignment horizontal="left" vertical="top"/>
    </xf>
    <xf numFmtId="0" fontId="7" fillId="5" borderId="0" xfId="15" applyFont="1" applyFill="1" applyAlignment="1">
      <alignment horizontal="left" vertical="top" indent="1"/>
    </xf>
    <xf numFmtId="0" fontId="7" fillId="0" borderId="0" xfId="15" applyFont="1" applyFill="1" applyAlignment="1">
      <alignment vertical="top"/>
    </xf>
    <xf numFmtId="0" fontId="5" fillId="0" borderId="0" xfId="15" applyFont="1" applyFill="1" applyAlignment="1">
      <alignment horizontal="center"/>
    </xf>
    <xf numFmtId="165" fontId="5" fillId="0" borderId="0" xfId="15" applyNumberFormat="1" applyFont="1" applyFill="1"/>
    <xf numFmtId="0" fontId="5" fillId="0" borderId="0" xfId="15" applyFont="1" applyFill="1"/>
    <xf numFmtId="0" fontId="7" fillId="0" borderId="0" xfId="0" applyFont="1" applyFill="1" applyBorder="1" applyAlignment="1">
      <alignment horizontal="left" vertical="top"/>
    </xf>
    <xf numFmtId="0" fontId="5" fillId="0" borderId="0" xfId="4" applyFont="1" applyFill="1"/>
    <xf numFmtId="0" fontId="8" fillId="0" borderId="0" xfId="4" applyFont="1" applyFill="1" applyAlignment="1"/>
    <xf numFmtId="0" fontId="5" fillId="0" borderId="0" xfId="4" applyFont="1" applyFill="1" applyAlignment="1">
      <alignment horizontal="center"/>
    </xf>
    <xf numFmtId="0" fontId="5" fillId="0" borderId="0" xfId="4" applyFont="1" applyFill="1" applyBorder="1"/>
    <xf numFmtId="0" fontId="5" fillId="0" borderId="0" xfId="4" applyFont="1" applyFill="1" applyBorder="1" applyAlignment="1">
      <alignment horizontal="center"/>
    </xf>
    <xf numFmtId="0" fontId="5" fillId="5" borderId="3" xfId="4" applyFont="1" applyFill="1" applyBorder="1"/>
    <xf numFmtId="0" fontId="5" fillId="5" borderId="3" xfId="4" applyFont="1" applyFill="1" applyBorder="1" applyAlignment="1">
      <alignment horizontal="center"/>
    </xf>
    <xf numFmtId="0" fontId="5" fillId="6" borderId="3" xfId="4" applyFont="1" applyFill="1" applyBorder="1" applyAlignment="1">
      <alignment horizontal="center"/>
    </xf>
    <xf numFmtId="0" fontId="5" fillId="6" borderId="3" xfId="4" applyFont="1" applyFill="1" applyBorder="1"/>
    <xf numFmtId="0" fontId="8" fillId="5" borderId="0" xfId="4" applyFont="1" applyFill="1" applyBorder="1" applyAlignment="1">
      <alignment horizontal="left" vertical="center" wrapText="1"/>
    </xf>
    <xf numFmtId="0" fontId="8" fillId="5" borderId="0" xfId="4" applyFont="1" applyFill="1" applyBorder="1" applyAlignment="1">
      <alignment horizontal="center" vertical="center"/>
    </xf>
    <xf numFmtId="0" fontId="8" fillId="6" borderId="0" xfId="4" applyFont="1" applyFill="1" applyBorder="1" applyAlignment="1">
      <alignment horizontal="center" vertical="center"/>
    </xf>
    <xf numFmtId="0" fontId="8" fillId="6" borderId="0" xfId="4" applyFont="1" applyFill="1" applyBorder="1" applyAlignment="1">
      <alignment horizontal="center" vertical="center" wrapText="1"/>
    </xf>
    <xf numFmtId="0" fontId="5" fillId="5" borderId="2" xfId="4" applyFont="1" applyFill="1" applyBorder="1" applyAlignment="1">
      <alignment horizontal="right"/>
    </xf>
    <xf numFmtId="0" fontId="5" fillId="6" borderId="2" xfId="4" applyFont="1" applyFill="1" applyBorder="1" applyAlignment="1">
      <alignment horizontal="right"/>
    </xf>
    <xf numFmtId="0" fontId="5" fillId="6" borderId="2" xfId="4" applyFont="1" applyFill="1" applyBorder="1"/>
    <xf numFmtId="0" fontId="5" fillId="0" borderId="0" xfId="4" applyFont="1" applyFill="1" applyBorder="1" applyAlignment="1">
      <alignment horizontal="right"/>
    </xf>
    <xf numFmtId="2" fontId="5" fillId="0" borderId="0" xfId="21" applyNumberFormat="1" applyFont="1" applyFill="1" applyAlignment="1">
      <alignment horizontal="right"/>
    </xf>
    <xf numFmtId="0" fontId="5" fillId="0" borderId="0" xfId="21" applyFont="1" applyFill="1" applyAlignment="1">
      <alignment horizontal="right"/>
    </xf>
    <xf numFmtId="0" fontId="5" fillId="0" borderId="0" xfId="4" applyFont="1" applyFill="1" applyBorder="1" applyAlignment="1">
      <alignment horizontal="right" indent="2"/>
    </xf>
    <xf numFmtId="0" fontId="8" fillId="5" borderId="0" xfId="15" applyFont="1" applyFill="1" applyBorder="1" applyAlignment="1">
      <alignment horizontal="center" vertical="top" wrapText="1"/>
    </xf>
    <xf numFmtId="0" fontId="8" fillId="0" borderId="0" xfId="4" applyFont="1" applyFill="1"/>
    <xf numFmtId="166" fontId="5" fillId="0" borderId="0" xfId="4" applyNumberFormat="1" applyFont="1" applyFill="1" applyBorder="1" applyAlignment="1">
      <alignment horizontal="left" indent="3"/>
    </xf>
    <xf numFmtId="166" fontId="8" fillId="0" borderId="0" xfId="4" applyNumberFormat="1" applyFont="1" applyFill="1"/>
    <xf numFmtId="0" fontId="8" fillId="0" borderId="0" xfId="4" applyFont="1" applyFill="1" applyAlignment="1">
      <alignment horizontal="left" indent="3"/>
    </xf>
    <xf numFmtId="166" fontId="5" fillId="0" borderId="0" xfId="4" applyNumberFormat="1" applyFont="1" applyFill="1" applyBorder="1" applyAlignment="1">
      <alignment horizontal="right" indent="2"/>
    </xf>
    <xf numFmtId="2" fontId="5" fillId="5" borderId="0" xfId="4" applyNumberFormat="1" applyFont="1" applyFill="1" applyBorder="1" applyAlignment="1">
      <alignment horizontal="right" indent="2"/>
    </xf>
    <xf numFmtId="166" fontId="8" fillId="3" borderId="0" xfId="4" applyNumberFormat="1" applyFont="1" applyFill="1"/>
    <xf numFmtId="0" fontId="8" fillId="3" borderId="0" xfId="4" applyFont="1" applyFill="1"/>
    <xf numFmtId="0" fontId="8" fillId="2" borderId="0" xfId="4" applyFont="1" applyFill="1"/>
    <xf numFmtId="0" fontId="5" fillId="5" borderId="0" xfId="4" applyFont="1" applyFill="1" applyBorder="1" applyAlignment="1">
      <alignment horizontal="right" indent="2"/>
    </xf>
    <xf numFmtId="0" fontId="7" fillId="0" borderId="0" xfId="4" applyFont="1" applyFill="1" applyAlignment="1">
      <alignment horizontal="left" indent="3"/>
    </xf>
    <xf numFmtId="0" fontId="5" fillId="0" borderId="2" xfId="4" applyFont="1" applyFill="1" applyBorder="1"/>
    <xf numFmtId="168" fontId="5" fillId="0" borderId="2" xfId="4" applyNumberFormat="1" applyFont="1" applyFill="1" applyBorder="1" applyProtection="1"/>
    <xf numFmtId="167" fontId="5" fillId="0" borderId="2" xfId="5" applyNumberFormat="1" applyFont="1" applyFill="1" applyBorder="1" applyProtection="1"/>
    <xf numFmtId="0" fontId="8" fillId="0" borderId="0" xfId="4" applyFont="1" applyFill="1" applyBorder="1" applyAlignment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0" borderId="0" xfId="15" applyFont="1" applyFill="1" applyBorder="1"/>
    <xf numFmtId="167" fontId="5" fillId="0" borderId="0" xfId="5" applyNumberFormat="1" applyFont="1" applyFill="1" applyBorder="1" applyProtection="1"/>
    <xf numFmtId="167" fontId="5" fillId="0" borderId="0" xfId="5" applyNumberFormat="1" applyFont="1" applyFill="1" applyBorder="1"/>
    <xf numFmtId="168" fontId="5" fillId="0" borderId="0" xfId="15" quotePrefix="1" applyNumberFormat="1" applyFont="1" applyFill="1" applyBorder="1" applyAlignment="1" applyProtection="1">
      <alignment horizontal="center"/>
    </xf>
    <xf numFmtId="0" fontId="8" fillId="0" borderId="0" xfId="15" applyFont="1" applyFill="1" applyBorder="1" applyAlignment="1">
      <alignment wrapText="1"/>
    </xf>
    <xf numFmtId="168" fontId="9" fillId="0" borderId="0" xfId="15" applyNumberFormat="1" applyFont="1" applyFill="1" applyBorder="1" applyAlignment="1" applyProtection="1">
      <alignment horizontal="left"/>
    </xf>
    <xf numFmtId="0" fontId="8" fillId="0" borderId="0" xfId="15" applyFont="1" applyFill="1" applyBorder="1" applyAlignment="1"/>
    <xf numFmtId="0" fontId="8" fillId="2" borderId="0" xfId="4" applyFont="1" applyFill="1" applyAlignment="1">
      <alignment wrapText="1"/>
    </xf>
    <xf numFmtId="0" fontId="8" fillId="0" borderId="0" xfId="4" applyFont="1" applyFill="1" applyAlignment="1">
      <alignment vertical="center" wrapText="1"/>
    </xf>
    <xf numFmtId="0" fontId="5" fillId="0" borderId="0" xfId="4" applyFont="1" applyFill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8" fillId="0" borderId="0" xfId="4" applyFont="1" applyFill="1" applyAlignment="1">
      <alignment vertical="center"/>
    </xf>
    <xf numFmtId="0" fontId="7" fillId="0" borderId="0" xfId="0" applyFont="1" applyAlignment="1"/>
    <xf numFmtId="0" fontId="8" fillId="0" borderId="0" xfId="0" applyFont="1" applyFill="1" applyAlignment="1"/>
    <xf numFmtId="0" fontId="5" fillId="0" borderId="0" xfId="0" applyFont="1" applyFill="1" applyAlignment="1"/>
    <xf numFmtId="165" fontId="5" fillId="0" borderId="0" xfId="4" applyNumberFormat="1" applyFont="1" applyFill="1" applyBorder="1"/>
    <xf numFmtId="165" fontId="5" fillId="6" borderId="3" xfId="4" applyNumberFormat="1" applyFont="1" applyFill="1" applyBorder="1"/>
    <xf numFmtId="0" fontId="8" fillId="6" borderId="0" xfId="4" applyFont="1" applyFill="1" applyBorder="1" applyAlignment="1">
      <alignment horizontal="center" wrapText="1"/>
    </xf>
    <xf numFmtId="0" fontId="8" fillId="5" borderId="0" xfId="4" applyFont="1" applyFill="1" applyBorder="1" applyAlignment="1">
      <alignment horizontal="center" wrapText="1"/>
    </xf>
    <xf numFmtId="0" fontId="8" fillId="5" borderId="0" xfId="15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2" xfId="4" applyFont="1" applyFill="1" applyBorder="1"/>
    <xf numFmtId="165" fontId="5" fillId="5" borderId="2" xfId="4" applyNumberFormat="1" applyFont="1" applyFill="1" applyBorder="1"/>
    <xf numFmtId="0" fontId="8" fillId="0" borderId="0" xfId="4" applyFont="1" applyFill="1" applyBorder="1" applyAlignment="1">
      <alignment horizontal="right"/>
    </xf>
    <xf numFmtId="0" fontId="8" fillId="0" borderId="0" xfId="4" applyFont="1" applyFill="1" applyAlignment="1">
      <alignment horizontal="right" indent="1"/>
    </xf>
    <xf numFmtId="171" fontId="8" fillId="0" borderId="0" xfId="1" applyNumberFormat="1" applyFont="1" applyFill="1" applyBorder="1" applyAlignment="1">
      <alignment horizontal="right" indent="1"/>
    </xf>
    <xf numFmtId="165" fontId="8" fillId="0" borderId="0" xfId="4" applyNumberFormat="1" applyFont="1" applyFill="1" applyAlignment="1">
      <alignment horizontal="right" indent="1"/>
    </xf>
    <xf numFmtId="0" fontId="8" fillId="0" borderId="0" xfId="3" applyFont="1" applyFill="1" applyAlignment="1">
      <alignment horizontal="left" vertical="top" wrapText="1" indent="1"/>
    </xf>
    <xf numFmtId="0" fontId="8" fillId="0" borderId="0" xfId="4" applyFont="1" applyFill="1" applyBorder="1"/>
    <xf numFmtId="171" fontId="5" fillId="0" borderId="0" xfId="4" applyNumberFormat="1" applyFont="1" applyFill="1" applyAlignment="1">
      <alignment horizontal="right" indent="1"/>
    </xf>
    <xf numFmtId="171" fontId="8" fillId="0" borderId="0" xfId="4" applyNumberFormat="1" applyFont="1" applyFill="1" applyAlignment="1">
      <alignment horizontal="right" indent="1"/>
    </xf>
    <xf numFmtId="0" fontId="5" fillId="5" borderId="0" xfId="4" applyFont="1" applyFill="1" applyAlignment="1">
      <alignment horizontal="right" indent="1"/>
    </xf>
    <xf numFmtId="0" fontId="5" fillId="5" borderId="0" xfId="4" applyFont="1" applyFill="1" applyAlignment="1">
      <alignment horizontal="right" vertical="center" indent="1"/>
    </xf>
    <xf numFmtId="0" fontId="5" fillId="5" borderId="0" xfId="4" applyFont="1" applyFill="1" applyAlignment="1"/>
    <xf numFmtId="0" fontId="8" fillId="5" borderId="0" xfId="4" applyFont="1" applyFill="1"/>
    <xf numFmtId="171" fontId="5" fillId="5" borderId="0" xfId="4" applyNumberFormat="1" applyFont="1" applyFill="1" applyAlignment="1">
      <alignment horizontal="right" vertical="top" indent="1"/>
    </xf>
    <xf numFmtId="175" fontId="5" fillId="5" borderId="0" xfId="4" applyNumberFormat="1" applyFont="1" applyFill="1" applyAlignment="1">
      <alignment horizontal="right" vertical="center" indent="1"/>
    </xf>
    <xf numFmtId="0" fontId="7" fillId="5" borderId="0" xfId="4" applyFont="1" applyFill="1"/>
    <xf numFmtId="0" fontId="7" fillId="0" borderId="0" xfId="4" applyFont="1" applyFill="1" applyAlignment="1">
      <alignment horizontal="left" indent="1"/>
    </xf>
    <xf numFmtId="0" fontId="7" fillId="0" borderId="0" xfId="3" applyFont="1" applyFill="1" applyAlignment="1">
      <alignment horizontal="left" vertical="top" wrapText="1" indent="1"/>
    </xf>
    <xf numFmtId="0" fontId="7" fillId="0" borderId="0" xfId="4" applyFont="1" applyFill="1"/>
    <xf numFmtId="171" fontId="7" fillId="0" borderId="0" xfId="4" applyNumberFormat="1" applyFont="1" applyFill="1" applyAlignment="1">
      <alignment horizontal="right" indent="1"/>
    </xf>
    <xf numFmtId="0" fontId="5" fillId="0" borderId="0" xfId="4" applyFont="1" applyFill="1" applyAlignment="1">
      <alignment horizontal="right" indent="1"/>
    </xf>
    <xf numFmtId="171" fontId="5" fillId="0" borderId="0" xfId="1" applyNumberFormat="1" applyFont="1" applyFill="1" applyBorder="1" applyAlignment="1">
      <alignment horizontal="right" indent="1"/>
    </xf>
    <xf numFmtId="165" fontId="5" fillId="0" borderId="0" xfId="4" applyNumberFormat="1" applyFont="1" applyFill="1" applyAlignment="1">
      <alignment horizontal="right" indent="1"/>
    </xf>
    <xf numFmtId="171" fontId="5" fillId="0" borderId="0" xfId="4" applyNumberFormat="1" applyFont="1" applyFill="1" applyAlignment="1">
      <alignment horizontal="right" vertical="top" indent="1"/>
    </xf>
    <xf numFmtId="0" fontId="7" fillId="3" borderId="0" xfId="4" applyFont="1" applyFill="1"/>
    <xf numFmtId="0" fontId="8" fillId="0" borderId="0" xfId="3" applyFont="1" applyFill="1" applyAlignment="1">
      <alignment horizontal="left" indent="1"/>
    </xf>
    <xf numFmtId="0" fontId="8" fillId="0" borderId="0" xfId="3" applyFont="1" applyFill="1" applyAlignment="1">
      <alignment horizontal="left" wrapText="1" indent="3"/>
    </xf>
    <xf numFmtId="0" fontId="8" fillId="0" borderId="0" xfId="4" applyFont="1" applyFill="1" applyBorder="1" applyAlignment="1">
      <alignment horizontal="left" indent="1"/>
    </xf>
    <xf numFmtId="172" fontId="5" fillId="5" borderId="0" xfId="4" applyNumberFormat="1" applyFont="1" applyFill="1" applyAlignment="1">
      <alignment horizontal="right" indent="1"/>
    </xf>
    <xf numFmtId="171" fontId="5" fillId="5" borderId="0" xfId="4" applyNumberFormat="1" applyFont="1" applyFill="1" applyAlignment="1">
      <alignment horizontal="right" indent="1"/>
    </xf>
    <xf numFmtId="172" fontId="5" fillId="0" borderId="0" xfId="4" applyNumberFormat="1" applyFont="1" applyFill="1" applyAlignment="1">
      <alignment horizontal="right" indent="1"/>
    </xf>
    <xf numFmtId="165" fontId="5" fillId="0" borderId="0" xfId="4" applyNumberFormat="1" applyFont="1" applyFill="1"/>
    <xf numFmtId="0" fontId="8" fillId="0" borderId="2" xfId="3" applyFont="1" applyFill="1" applyBorder="1" applyAlignment="1">
      <alignment horizontal="left"/>
    </xf>
    <xf numFmtId="0" fontId="8" fillId="0" borderId="2" xfId="3" applyFont="1" applyFill="1" applyBorder="1" applyAlignment="1">
      <alignment horizontal="left" wrapText="1" indent="2"/>
    </xf>
    <xf numFmtId="0" fontId="8" fillId="0" borderId="2" xfId="4" applyFont="1" applyFill="1" applyBorder="1"/>
    <xf numFmtId="171" fontId="5" fillId="0" borderId="2" xfId="4" applyNumberFormat="1" applyFont="1" applyFill="1" applyBorder="1" applyAlignment="1">
      <alignment horizontal="right" indent="1"/>
    </xf>
    <xf numFmtId="171" fontId="8" fillId="0" borderId="2" xfId="4" applyNumberFormat="1" applyFont="1" applyFill="1" applyBorder="1" applyAlignment="1">
      <alignment horizontal="right" indent="1"/>
    </xf>
    <xf numFmtId="0" fontId="8" fillId="0" borderId="0" xfId="4" applyFont="1" applyFill="1" applyAlignment="1">
      <alignment horizontal="right"/>
    </xf>
    <xf numFmtId="171" fontId="5" fillId="0" borderId="0" xfId="4" applyNumberFormat="1" applyFont="1" applyFill="1"/>
    <xf numFmtId="0" fontId="8" fillId="0" borderId="0" xfId="0" applyFont="1" applyFill="1" applyAlignment="1">
      <alignment wrapText="1"/>
    </xf>
    <xf numFmtId="0" fontId="5" fillId="0" borderId="0" xfId="15" applyFont="1" applyFill="1" applyBorder="1" applyAlignment="1">
      <alignment horizontal="center"/>
    </xf>
    <xf numFmtId="165" fontId="5" fillId="0" borderId="0" xfId="15" applyNumberFormat="1" applyFont="1" applyFill="1" applyBorder="1"/>
    <xf numFmtId="0" fontId="5" fillId="5" borderId="3" xfId="15" applyFont="1" applyFill="1" applyBorder="1"/>
    <xf numFmtId="0" fontId="5" fillId="6" borderId="3" xfId="15" applyFont="1" applyFill="1" applyBorder="1"/>
    <xf numFmtId="0" fontId="5" fillId="6" borderId="3" xfId="15" applyFont="1" applyFill="1" applyBorder="1" applyAlignment="1">
      <alignment horizontal="center"/>
    </xf>
    <xf numFmtId="165" fontId="5" fillId="6" borderId="3" xfId="15" applyNumberFormat="1" applyFont="1" applyFill="1" applyBorder="1"/>
    <xf numFmtId="0" fontId="8" fillId="5" borderId="0" xfId="15" applyFont="1" applyFill="1" applyBorder="1" applyAlignment="1">
      <alignment horizontal="left" vertical="center" wrapText="1"/>
    </xf>
    <xf numFmtId="0" fontId="5" fillId="5" borderId="0" xfId="15" applyFont="1" applyFill="1" applyBorder="1" applyAlignment="1">
      <alignment horizontal="right"/>
    </xf>
    <xf numFmtId="0" fontId="8" fillId="6" borderId="0" xfId="15" applyFont="1" applyFill="1" applyBorder="1" applyAlignment="1">
      <alignment vertical="center" wrapText="1"/>
    </xf>
    <xf numFmtId="0" fontId="8" fillId="5" borderId="0" xfId="15" applyFont="1" applyFill="1" applyBorder="1" applyAlignment="1">
      <alignment vertical="center" wrapText="1"/>
    </xf>
    <xf numFmtId="0" fontId="8" fillId="5" borderId="0" xfId="15" applyFont="1" applyFill="1" applyBorder="1" applyAlignment="1">
      <alignment horizontal="left" vertical="center"/>
    </xf>
    <xf numFmtId="0" fontId="5" fillId="5" borderId="2" xfId="15" applyFont="1" applyFill="1" applyBorder="1" applyAlignment="1">
      <alignment horizontal="right"/>
    </xf>
    <xf numFmtId="0" fontId="5" fillId="5" borderId="2" xfId="15" applyFont="1" applyFill="1" applyBorder="1"/>
    <xf numFmtId="165" fontId="5" fillId="5" borderId="2" xfId="15" applyNumberFormat="1" applyFont="1" applyFill="1" applyBorder="1"/>
    <xf numFmtId="0" fontId="5" fillId="0" borderId="0" xfId="15" applyFont="1" applyFill="1" applyBorder="1" applyAlignment="1">
      <alignment horizontal="right"/>
    </xf>
    <xf numFmtId="0" fontId="8" fillId="0" borderId="0" xfId="15" applyFont="1" applyFill="1" applyBorder="1" applyAlignment="1">
      <alignment horizontal="left" vertical="center"/>
    </xf>
    <xf numFmtId="0" fontId="5" fillId="0" borderId="0" xfId="15" applyFont="1" applyFill="1" applyBorder="1" applyAlignment="1">
      <alignment vertical="center"/>
    </xf>
    <xf numFmtId="3" fontId="8" fillId="0" borderId="0" xfId="1" applyNumberFormat="1" applyFont="1" applyFill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0" xfId="15" applyNumberFormat="1" applyFont="1" applyFill="1"/>
    <xf numFmtId="3" fontId="5" fillId="0" borderId="0" xfId="1" applyNumberFormat="1" applyFont="1" applyFill="1" applyAlignment="1">
      <alignment horizontal="right" vertical="center" indent="1"/>
    </xf>
    <xf numFmtId="3" fontId="5" fillId="0" borderId="0" xfId="0" applyNumberFormat="1" applyFont="1" applyAlignment="1">
      <alignment horizontal="right" indent="1"/>
    </xf>
    <xf numFmtId="0" fontId="5" fillId="5" borderId="0" xfId="15" applyFont="1" applyFill="1" applyAlignment="1">
      <alignment horizontal="left" vertical="center" indent="2"/>
    </xf>
    <xf numFmtId="0" fontId="5" fillId="5" borderId="0" xfId="15" applyFont="1" applyFill="1" applyAlignment="1">
      <alignment horizontal="left" vertical="center"/>
    </xf>
    <xf numFmtId="0" fontId="5" fillId="5" borderId="0" xfId="15" applyFont="1" applyFill="1" applyBorder="1" applyAlignment="1">
      <alignment vertical="center"/>
    </xf>
    <xf numFmtId="3" fontId="5" fillId="5" borderId="0" xfId="1" applyNumberFormat="1" applyFont="1" applyFill="1" applyAlignment="1">
      <alignment horizontal="right" vertical="center" indent="1"/>
    </xf>
    <xf numFmtId="3" fontId="5" fillId="5" borderId="0" xfId="0" applyNumberFormat="1" applyFont="1" applyFill="1" applyAlignment="1">
      <alignment horizontal="right" vertical="center" indent="1"/>
    </xf>
    <xf numFmtId="0" fontId="5" fillId="5" borderId="0" xfId="15" applyFont="1" applyFill="1"/>
    <xf numFmtId="3" fontId="5" fillId="5" borderId="0" xfId="15" applyNumberFormat="1" applyFont="1" applyFill="1"/>
    <xf numFmtId="0" fontId="5" fillId="0" borderId="0" xfId="15" applyFont="1" applyFill="1" applyAlignment="1">
      <alignment horizontal="left" vertical="center" indent="2"/>
    </xf>
    <xf numFmtId="0" fontId="5" fillId="0" borderId="0" xfId="15" applyFont="1" applyFill="1" applyAlignment="1">
      <alignment vertical="center"/>
    </xf>
    <xf numFmtId="0" fontId="5" fillId="5" borderId="0" xfId="15" applyFont="1" applyFill="1" applyAlignment="1">
      <alignment vertical="center"/>
    </xf>
    <xf numFmtId="0" fontId="8" fillId="5" borderId="0" xfId="0" applyFont="1" applyFill="1" applyBorder="1" applyAlignment="1"/>
    <xf numFmtId="0" fontId="8" fillId="0" borderId="2" xfId="15" applyFont="1" applyFill="1" applyBorder="1" applyAlignment="1">
      <alignment horizontal="center"/>
    </xf>
    <xf numFmtId="0" fontId="5" fillId="0" borderId="2" xfId="15" applyFont="1" applyFill="1" applyBorder="1"/>
    <xf numFmtId="0" fontId="5" fillId="0" borderId="2" xfId="0" applyFont="1" applyBorder="1" applyAlignment="1">
      <alignment horizontal="right" vertical="center"/>
    </xf>
    <xf numFmtId="0" fontId="5" fillId="0" borderId="2" xfId="0" applyFont="1" applyBorder="1"/>
    <xf numFmtId="168" fontId="5" fillId="0" borderId="0" xfId="15" applyNumberFormat="1" applyFont="1" applyFill="1" applyBorder="1" applyProtection="1"/>
    <xf numFmtId="0" fontId="5" fillId="5" borderId="0" xfId="15" applyFont="1" applyFill="1" applyBorder="1"/>
    <xf numFmtId="0" fontId="8" fillId="5" borderId="0" xfId="15" applyFont="1" applyFill="1" applyBorder="1" applyAlignment="1"/>
    <xf numFmtId="0" fontId="8" fillId="6" borderId="0" xfId="15" applyFont="1" applyFill="1" applyBorder="1" applyAlignment="1">
      <alignment horizontal="center" vertical="center"/>
    </xf>
    <xf numFmtId="0" fontId="5" fillId="6" borderId="0" xfId="15" applyFont="1" applyFill="1" applyBorder="1" applyAlignment="1">
      <alignment horizontal="center" vertical="center"/>
    </xf>
    <xf numFmtId="0" fontId="5" fillId="6" borderId="2" xfId="15" applyFont="1" applyFill="1" applyBorder="1"/>
    <xf numFmtId="165" fontId="5" fillId="6" borderId="2" xfId="15" applyNumberFormat="1" applyFont="1" applyFill="1" applyBorder="1"/>
    <xf numFmtId="0" fontId="5" fillId="6" borderId="2" xfId="15" applyFont="1" applyFill="1" applyBorder="1" applyAlignment="1">
      <alignment horizontal="right"/>
    </xf>
    <xf numFmtId="0" fontId="5" fillId="6" borderId="2" xfId="15" applyFont="1" applyFill="1" applyBorder="1" applyAlignment="1">
      <alignment horizontal="center"/>
    </xf>
    <xf numFmtId="1" fontId="8" fillId="0" borderId="0" xfId="15" applyNumberFormat="1" applyFont="1" applyFill="1" applyAlignment="1">
      <alignment vertical="center"/>
    </xf>
    <xf numFmtId="3" fontId="5" fillId="0" borderId="0" xfId="15" applyNumberFormat="1" applyFont="1" applyFill="1" applyAlignment="1">
      <alignment vertical="center"/>
    </xf>
    <xf numFmtId="172" fontId="5" fillId="0" borderId="0" xfId="15" applyNumberFormat="1" applyFont="1" applyFill="1" applyAlignment="1">
      <alignment vertical="center"/>
    </xf>
    <xf numFmtId="1" fontId="5" fillId="0" borderId="0" xfId="15" applyNumberFormat="1" applyFont="1" applyFill="1" applyBorder="1"/>
    <xf numFmtId="3" fontId="5" fillId="0" borderId="0" xfId="1" applyNumberFormat="1" applyFont="1" applyFill="1" applyAlignment="1">
      <alignment horizontal="right" indent="1"/>
    </xf>
    <xf numFmtId="1" fontId="5" fillId="5" borderId="0" xfId="15" applyNumberFormat="1" applyFont="1" applyFill="1" applyAlignment="1">
      <alignment vertical="center"/>
    </xf>
    <xf numFmtId="3" fontId="5" fillId="5" borderId="0" xfId="15" applyNumberFormat="1" applyFont="1" applyFill="1" applyAlignment="1">
      <alignment vertical="center"/>
    </xf>
    <xf numFmtId="172" fontId="5" fillId="5" borderId="0" xfId="15" applyNumberFormat="1" applyFont="1" applyFill="1" applyAlignment="1">
      <alignment vertical="center"/>
    </xf>
    <xf numFmtId="1" fontId="5" fillId="0" borderId="0" xfId="15" applyNumberFormat="1" applyFont="1" applyFill="1" applyAlignment="1">
      <alignment vertical="center"/>
    </xf>
    <xf numFmtId="168" fontId="5" fillId="0" borderId="2" xfId="15" applyNumberFormat="1" applyFont="1" applyFill="1" applyBorder="1" applyProtection="1"/>
    <xf numFmtId="167" fontId="5" fillId="0" borderId="2" xfId="5" applyNumberFormat="1" applyFont="1" applyFill="1" applyBorder="1"/>
    <xf numFmtId="168" fontId="5" fillId="0" borderId="2" xfId="15" quotePrefix="1" applyNumberFormat="1" applyFont="1" applyFill="1" applyBorder="1" applyAlignment="1" applyProtection="1">
      <alignment horizontal="center"/>
    </xf>
    <xf numFmtId="165" fontId="5" fillId="0" borderId="2" xfId="5" applyNumberFormat="1" applyFont="1" applyFill="1" applyBorder="1" applyProtection="1"/>
    <xf numFmtId="0" fontId="8" fillId="0" borderId="0" xfId="15" applyFont="1" applyFill="1" applyAlignment="1"/>
    <xf numFmtId="0" fontId="5" fillId="0" borderId="0" xfId="15" applyFont="1" applyFill="1" applyAlignment="1"/>
    <xf numFmtId="0" fontId="8" fillId="5" borderId="0" xfId="2" applyFont="1" applyFill="1" applyBorder="1" applyAlignment="1">
      <alignment horizontal="center" vertical="top" wrapText="1"/>
    </xf>
    <xf numFmtId="0" fontId="5" fillId="5" borderId="0" xfId="2" applyFont="1" applyFill="1" applyBorder="1" applyAlignment="1">
      <alignment horizontal="center" vertical="top" wrapText="1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Alignment="1">
      <alignment horizontal="right" vertical="center" indent="1"/>
    </xf>
    <xf numFmtId="0" fontId="8" fillId="5" borderId="0" xfId="4" applyFont="1" applyFill="1" applyAlignment="1">
      <alignment horizontal="left" indent="1"/>
    </xf>
    <xf numFmtId="0" fontId="8" fillId="5" borderId="0" xfId="4" applyFont="1" applyFill="1" applyBorder="1"/>
    <xf numFmtId="0" fontId="8" fillId="0" borderId="0" xfId="4" applyFont="1" applyFill="1" applyAlignment="1">
      <alignment horizontal="left" indent="2"/>
    </xf>
    <xf numFmtId="0" fontId="8" fillId="0" borderId="0" xfId="3" applyFont="1" applyFill="1" applyAlignment="1">
      <alignment horizontal="left" wrapText="1" indent="1"/>
    </xf>
    <xf numFmtId="0" fontId="7" fillId="0" borderId="0" xfId="4" applyFont="1" applyFill="1" applyBorder="1"/>
    <xf numFmtId="167" fontId="7" fillId="0" borderId="0" xfId="4" applyNumberFormat="1" applyFont="1" applyFill="1"/>
    <xf numFmtId="0" fontId="8" fillId="0" borderId="0" xfId="4" applyFont="1" applyFill="1" applyAlignment="1">
      <alignment horizontal="left" indent="1"/>
    </xf>
    <xf numFmtId="0" fontId="7" fillId="0" borderId="0" xfId="4" applyFont="1" applyFill="1" applyAlignment="1">
      <alignment horizontal="left" indent="2"/>
    </xf>
    <xf numFmtId="0" fontId="7" fillId="5" borderId="0" xfId="4" applyFont="1" applyFill="1" applyBorder="1"/>
    <xf numFmtId="167" fontId="8" fillId="0" borderId="0" xfId="4" applyNumberFormat="1" applyFont="1" applyFill="1"/>
    <xf numFmtId="0" fontId="8" fillId="0" borderId="0" xfId="3" applyFont="1" applyFill="1" applyBorder="1" applyAlignment="1">
      <alignment horizontal="left" vertical="top" wrapText="1" indent="2"/>
    </xf>
    <xf numFmtId="0" fontId="11" fillId="5" borderId="0" xfId="4" applyFont="1" applyFill="1" applyBorder="1"/>
    <xf numFmtId="0" fontId="11" fillId="5" borderId="0" xfId="4" applyFont="1" applyFill="1"/>
    <xf numFmtId="0" fontId="8" fillId="0" borderId="2" xfId="4" applyFont="1" applyFill="1" applyBorder="1" applyAlignment="1">
      <alignment horizontal="left" wrapText="1" indent="1"/>
    </xf>
    <xf numFmtId="0" fontId="7" fillId="0" borderId="2" xfId="4" applyFont="1" applyFill="1" applyBorder="1"/>
    <xf numFmtId="166" fontId="5" fillId="0" borderId="2" xfId="4" applyNumberFormat="1" applyFont="1" applyFill="1" applyBorder="1" applyAlignment="1"/>
    <xf numFmtId="166" fontId="5" fillId="0" borderId="2" xfId="5" applyNumberFormat="1" applyFont="1" applyFill="1" applyBorder="1" applyAlignment="1" applyProtection="1"/>
    <xf numFmtId="166" fontId="5" fillId="0" borderId="2" xfId="4" applyNumberFormat="1" applyFont="1" applyFill="1" applyBorder="1" applyAlignment="1" applyProtection="1"/>
    <xf numFmtId="0" fontId="8" fillId="0" borderId="0" xfId="4" applyFont="1" applyFill="1" applyAlignment="1">
      <alignment horizontal="left"/>
    </xf>
    <xf numFmtId="166" fontId="5" fillId="0" borderId="0" xfId="1" applyNumberFormat="1" applyFont="1" applyFill="1" applyBorder="1" applyAlignment="1"/>
    <xf numFmtId="166" fontId="5" fillId="0" borderId="0" xfId="4" applyNumberFormat="1" applyFont="1" applyFill="1" applyAlignment="1"/>
    <xf numFmtId="167" fontId="5" fillId="0" borderId="0" xfId="4" applyNumberFormat="1" applyFont="1" applyFill="1" applyAlignment="1"/>
    <xf numFmtId="166" fontId="5" fillId="0" borderId="0" xfId="4" applyNumberFormat="1" applyFont="1" applyFill="1" applyBorder="1" applyAlignment="1">
      <alignment horizontal="right"/>
    </xf>
    <xf numFmtId="166" fontId="5" fillId="0" borderId="0" xfId="4" applyNumberFormat="1" applyFont="1" applyFill="1" applyBorder="1"/>
    <xf numFmtId="166" fontId="5" fillId="0" borderId="0" xfId="4" applyNumberFormat="1" applyFont="1" applyFill="1" applyBorder="1" applyAlignment="1">
      <alignment horizontal="center"/>
    </xf>
    <xf numFmtId="0" fontId="7" fillId="0" borderId="0" xfId="3" applyFont="1" applyFill="1" applyAlignment="1">
      <alignment horizontal="left" wrapText="1" indent="1"/>
    </xf>
    <xf numFmtId="0" fontId="11" fillId="0" borderId="0" xfId="4" applyFont="1" applyFill="1" applyAlignment="1">
      <alignment horizontal="left" indent="1"/>
    </xf>
    <xf numFmtId="0" fontId="8" fillId="5" borderId="0" xfId="2" applyFont="1" applyFill="1" applyBorder="1" applyAlignment="1">
      <alignment horizontal="center" vertical="center" wrapText="1"/>
    </xf>
    <xf numFmtId="3" fontId="8" fillId="0" borderId="0" xfId="4" applyNumberFormat="1" applyFont="1" applyFill="1" applyAlignment="1">
      <alignment vertical="center"/>
    </xf>
    <xf numFmtId="167" fontId="8" fillId="0" borderId="0" xfId="4" applyNumberFormat="1" applyFont="1" applyFill="1" applyAlignment="1">
      <alignment vertical="center"/>
    </xf>
    <xf numFmtId="3" fontId="5" fillId="0" borderId="0" xfId="4" applyNumberFormat="1" applyFont="1" applyFill="1" applyAlignment="1">
      <alignment horizontal="right" vertical="center" indent="1"/>
    </xf>
    <xf numFmtId="3" fontId="8" fillId="5" borderId="0" xfId="4" applyNumberFormat="1" applyFont="1" applyFill="1"/>
    <xf numFmtId="167" fontId="8" fillId="5" borderId="0" xfId="4" applyNumberFormat="1" applyFont="1" applyFill="1"/>
    <xf numFmtId="3" fontId="8" fillId="0" borderId="0" xfId="4" applyNumberFormat="1" applyFont="1" applyFill="1"/>
    <xf numFmtId="0" fontId="7" fillId="5" borderId="0" xfId="4" applyFont="1" applyFill="1" applyAlignment="1">
      <alignment horizontal="left" indent="1"/>
    </xf>
    <xf numFmtId="0" fontId="7" fillId="5" borderId="0" xfId="4" applyFont="1" applyFill="1" applyAlignment="1">
      <alignment vertical="top"/>
    </xf>
    <xf numFmtId="0" fontId="7" fillId="5" borderId="0" xfId="4" applyFont="1" applyFill="1" applyAlignment="1">
      <alignment horizontal="right"/>
    </xf>
    <xf numFmtId="0" fontId="8" fillId="0" borderId="2" xfId="3" applyFont="1" applyFill="1" applyBorder="1" applyAlignment="1">
      <alignment horizontal="left" wrapText="1" indent="1"/>
    </xf>
    <xf numFmtId="167" fontId="5" fillId="0" borderId="2" xfId="1" applyNumberFormat="1" applyFont="1" applyFill="1" applyBorder="1" applyAlignment="1"/>
    <xf numFmtId="166" fontId="5" fillId="0" borderId="0" xfId="1" applyNumberFormat="1" applyFont="1" applyFill="1" applyAlignment="1">
      <alignment wrapText="1"/>
    </xf>
    <xf numFmtId="0" fontId="8" fillId="0" borderId="0" xfId="4" applyFont="1" applyFill="1" applyAlignment="1">
      <alignment horizontal="left" wrapText="1" indent="1"/>
    </xf>
    <xf numFmtId="166" fontId="5" fillId="0" borderId="0" xfId="4" applyNumberFormat="1" applyFont="1" applyFill="1" applyBorder="1" applyAlignment="1"/>
    <xf numFmtId="166" fontId="5" fillId="0" borderId="0" xfId="5" applyNumberFormat="1" applyFont="1" applyFill="1" applyBorder="1" applyAlignment="1" applyProtection="1"/>
    <xf numFmtId="166" fontId="5" fillId="0" borderId="0" xfId="4" applyNumberFormat="1" applyFont="1" applyFill="1" applyBorder="1" applyAlignment="1" applyProtection="1"/>
    <xf numFmtId="0" fontId="7" fillId="0" borderId="0" xfId="4" applyFont="1" applyFill="1" applyAlignment="1">
      <alignment horizontal="left" vertical="top" wrapText="1" indent="1"/>
    </xf>
    <xf numFmtId="166" fontId="5" fillId="0" borderId="0" xfId="4" applyNumberFormat="1" applyFont="1" applyFill="1" applyAlignment="1">
      <alignment horizontal="right"/>
    </xf>
    <xf numFmtId="166" fontId="5" fillId="0" borderId="0" xfId="4" applyNumberFormat="1" applyFont="1" applyFill="1"/>
    <xf numFmtId="1" fontId="8" fillId="0" borderId="0" xfId="4" applyNumberFormat="1" applyFont="1" applyFill="1" applyAlignment="1">
      <alignment horizontal="right" vertical="center" indent="1"/>
    </xf>
    <xf numFmtId="167" fontId="8" fillId="4" borderId="0" xfId="4" applyNumberFormat="1" applyFont="1" applyFill="1"/>
    <xf numFmtId="3" fontId="5" fillId="0" borderId="0" xfId="1" applyNumberFormat="1" applyFont="1" applyFill="1"/>
    <xf numFmtId="3" fontId="5" fillId="0" borderId="0" xfId="4" applyNumberFormat="1" applyFont="1" applyFill="1" applyAlignment="1"/>
    <xf numFmtId="1" fontId="5" fillId="0" borderId="0" xfId="4" applyNumberFormat="1" applyFont="1" applyFill="1" applyAlignment="1"/>
    <xf numFmtId="3" fontId="5" fillId="5" borderId="0" xfId="1" applyNumberFormat="1" applyFont="1" applyFill="1" applyAlignment="1">
      <alignment horizontal="center"/>
    </xf>
    <xf numFmtId="3" fontId="5" fillId="5" borderId="0" xfId="1" applyNumberFormat="1" applyFont="1" applyFill="1" applyAlignment="1"/>
    <xf numFmtId="3" fontId="5" fillId="5" borderId="0" xfId="1" applyNumberFormat="1" applyFont="1" applyFill="1"/>
    <xf numFmtId="1" fontId="5" fillId="5" borderId="0" xfId="1" applyNumberFormat="1" applyFont="1" applyFill="1" applyAlignment="1"/>
    <xf numFmtId="3" fontId="5" fillId="5" borderId="0" xfId="1" applyNumberFormat="1" applyFont="1" applyFill="1" applyAlignment="1">
      <alignment horizontal="right" indent="1"/>
    </xf>
    <xf numFmtId="3" fontId="5" fillId="0" borderId="0" xfId="1" applyNumberFormat="1" applyFont="1" applyFill="1" applyAlignment="1">
      <alignment vertical="center"/>
    </xf>
    <xf numFmtId="1" fontId="5" fillId="0" borderId="0" xfId="1" applyNumberFormat="1" applyFont="1" applyFill="1" applyAlignment="1">
      <alignment vertical="center"/>
    </xf>
    <xf numFmtId="3" fontId="5" fillId="5" borderId="0" xfId="1" applyNumberFormat="1" applyFont="1" applyFill="1" applyAlignment="1">
      <alignment horizontal="left" indent="1"/>
    </xf>
    <xf numFmtId="1" fontId="5" fillId="5" borderId="0" xfId="1" applyNumberFormat="1" applyFont="1" applyFill="1" applyAlignment="1">
      <alignment horizontal="left" indent="1"/>
    </xf>
    <xf numFmtId="3" fontId="5" fillId="0" borderId="0" xfId="1" applyNumberFormat="1" applyFont="1" applyFill="1" applyAlignment="1"/>
    <xf numFmtId="3" fontId="5" fillId="0" borderId="0" xfId="1" applyNumberFormat="1" applyFont="1" applyFill="1" applyAlignment="1">
      <alignment horizontal="center"/>
    </xf>
    <xf numFmtId="1" fontId="5" fillId="0" borderId="0" xfId="1" applyNumberFormat="1" applyFont="1" applyFill="1" applyAlignment="1"/>
    <xf numFmtId="3" fontId="5" fillId="0" borderId="0" xfId="1" applyNumberFormat="1" applyFont="1" applyFill="1" applyAlignment="1">
      <alignment horizontal="left" indent="1"/>
    </xf>
    <xf numFmtId="1" fontId="5" fillId="0" borderId="0" xfId="1" applyNumberFormat="1" applyFont="1" applyFill="1" applyAlignment="1">
      <alignment horizontal="left" indent="1"/>
    </xf>
    <xf numFmtId="3" fontId="5" fillId="5" borderId="0" xfId="1" applyNumberFormat="1" applyFont="1" applyFill="1" applyAlignment="1">
      <alignment vertical="center"/>
    </xf>
    <xf numFmtId="1" fontId="5" fillId="5" borderId="0" xfId="1" applyNumberFormat="1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5" fillId="0" borderId="0" xfId="15" applyFont="1" applyFill="1" applyBorder="1" applyAlignment="1"/>
    <xf numFmtId="0" fontId="8" fillId="0" borderId="0" xfId="15" applyFont="1" applyFill="1" applyAlignment="1">
      <alignment horizontal="left"/>
    </xf>
    <xf numFmtId="0" fontId="8" fillId="0" borderId="0" xfId="15" applyFont="1" applyFill="1" applyBorder="1"/>
    <xf numFmtId="2" fontId="8" fillId="0" borderId="0" xfId="15" applyNumberFormat="1" applyFont="1" applyFill="1"/>
    <xf numFmtId="0" fontId="8" fillId="0" borderId="0" xfId="15" applyFont="1" applyFill="1"/>
    <xf numFmtId="0" fontId="8" fillId="0" borderId="0" xfId="15" applyFont="1" applyFill="1" applyBorder="1" applyAlignment="1">
      <alignment horizontal="left"/>
    </xf>
    <xf numFmtId="2" fontId="8" fillId="0" borderId="0" xfId="1" applyNumberFormat="1" applyFont="1" applyFill="1" applyBorder="1"/>
    <xf numFmtId="2" fontId="8" fillId="0" borderId="0" xfId="15" applyNumberFormat="1" applyFont="1" applyFill="1" applyBorder="1" applyAlignment="1">
      <alignment horizontal="right"/>
    </xf>
    <xf numFmtId="2" fontId="8" fillId="0" borderId="0" xfId="15" applyNumberFormat="1" applyFont="1" applyFill="1" applyBorder="1"/>
    <xf numFmtId="2" fontId="5" fillId="5" borderId="0" xfId="15" applyNumberFormat="1" applyFont="1" applyFill="1" applyAlignment="1">
      <alignment horizontal="right" indent="1"/>
    </xf>
    <xf numFmtId="0" fontId="8" fillId="5" borderId="0" xfId="15" applyFont="1" applyFill="1"/>
    <xf numFmtId="2" fontId="8" fillId="5" borderId="0" xfId="15" applyNumberFormat="1" applyFont="1" applyFill="1"/>
    <xf numFmtId="0" fontId="7" fillId="5" borderId="0" xfId="15" applyFont="1" applyFill="1" applyBorder="1" applyAlignment="1">
      <alignment horizontal="left" indent="1"/>
    </xf>
    <xf numFmtId="2" fontId="7" fillId="5" borderId="0" xfId="15" applyNumberFormat="1" applyFont="1" applyFill="1" applyAlignment="1">
      <alignment horizontal="right" indent="1"/>
    </xf>
    <xf numFmtId="0" fontId="7" fillId="5" borderId="0" xfId="15" applyFont="1" applyFill="1"/>
    <xf numFmtId="0" fontId="8" fillId="0" borderId="0" xfId="15" applyFont="1" applyFill="1" applyAlignment="1">
      <alignment horizontal="left" indent="2"/>
    </xf>
    <xf numFmtId="0" fontId="5" fillId="0" borderId="0" xfId="15" applyFont="1" applyFill="1" applyAlignment="1">
      <alignment horizontal="right" indent="1"/>
    </xf>
    <xf numFmtId="2" fontId="5" fillId="0" borderId="0" xfId="15" applyNumberFormat="1" applyFont="1" applyFill="1" applyAlignment="1">
      <alignment horizontal="right" indent="1"/>
    </xf>
    <xf numFmtId="2" fontId="8" fillId="3" borderId="0" xfId="15" applyNumberFormat="1" applyFont="1" applyFill="1"/>
    <xf numFmtId="0" fontId="8" fillId="3" borderId="0" xfId="15" applyFont="1" applyFill="1"/>
    <xf numFmtId="2" fontId="7" fillId="0" borderId="0" xfId="15" applyNumberFormat="1" applyFont="1" applyFill="1" applyAlignment="1">
      <alignment horizontal="right" indent="1"/>
    </xf>
    <xf numFmtId="0" fontId="7" fillId="0" borderId="0" xfId="15" applyFont="1" applyFill="1"/>
    <xf numFmtId="0" fontId="7" fillId="0" borderId="0" xfId="15" applyFont="1" applyFill="1" applyBorder="1"/>
    <xf numFmtId="0" fontId="8" fillId="5" borderId="0" xfId="15" applyFont="1" applyFill="1" applyAlignment="1">
      <alignment horizontal="left" indent="1"/>
    </xf>
    <xf numFmtId="0" fontId="8" fillId="5" borderId="0" xfId="15" applyFont="1" applyFill="1" applyAlignment="1">
      <alignment horizontal="left" indent="2"/>
    </xf>
    <xf numFmtId="0" fontId="8" fillId="5" borderId="0" xfId="15" applyFont="1" applyFill="1" applyBorder="1"/>
    <xf numFmtId="0" fontId="7" fillId="5" borderId="0" xfId="15" applyFont="1" applyFill="1" applyAlignment="1">
      <alignment horizontal="left" vertical="top" indent="2"/>
    </xf>
    <xf numFmtId="0" fontId="7" fillId="5" borderId="0" xfId="15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0" xfId="0" applyFont="1" applyFill="1" applyBorder="1" applyAlignment="1">
      <alignment horizontal="left" indent="2"/>
    </xf>
    <xf numFmtId="2" fontId="5" fillId="0" borderId="0" xfId="5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left" vertical="top" indent="2"/>
    </xf>
    <xf numFmtId="2" fontId="7" fillId="0" borderId="0" xfId="5" applyNumberFormat="1" applyFont="1" applyFill="1" applyBorder="1" applyAlignment="1">
      <alignment horizontal="right" indent="2"/>
    </xf>
    <xf numFmtId="0" fontId="7" fillId="0" borderId="0" xfId="0" applyFont="1" applyFill="1" applyBorder="1" applyAlignment="1"/>
    <xf numFmtId="0" fontId="7" fillId="0" borderId="2" xfId="0" applyFont="1" applyFill="1" applyBorder="1" applyAlignment="1">
      <alignment horizontal="left" vertical="top" indent="2"/>
    </xf>
    <xf numFmtId="0" fontId="7" fillId="0" borderId="2" xfId="15" applyFont="1" applyFill="1" applyBorder="1"/>
    <xf numFmtId="167" fontId="7" fillId="0" borderId="2" xfId="5" applyNumberFormat="1" applyFont="1" applyFill="1" applyBorder="1" applyProtection="1"/>
    <xf numFmtId="167" fontId="7" fillId="0" borderId="2" xfId="5" applyNumberFormat="1" applyFont="1" applyFill="1" applyBorder="1"/>
    <xf numFmtId="168" fontId="7" fillId="0" borderId="2" xfId="15" applyNumberFormat="1" applyFont="1" applyFill="1" applyBorder="1" applyProtection="1"/>
    <xf numFmtId="49" fontId="5" fillId="0" borderId="0" xfId="0" applyNumberFormat="1" applyFont="1" applyFill="1" applyAlignment="1">
      <alignment vertical="top"/>
    </xf>
    <xf numFmtId="174" fontId="5" fillId="0" borderId="0" xfId="5" quotePrefix="1" applyNumberFormat="1" applyFont="1" applyFill="1" applyBorder="1" applyAlignment="1" applyProtection="1">
      <alignment horizontal="right" vertical="center" indent="1"/>
    </xf>
    <xf numFmtId="2" fontId="5" fillId="0" borderId="0" xfId="5" quotePrefix="1" applyNumberFormat="1" applyFont="1" applyFill="1" applyBorder="1" applyAlignment="1" applyProtection="1">
      <alignment horizontal="right" vertical="center" indent="1"/>
    </xf>
    <xf numFmtId="0" fontId="5" fillId="5" borderId="0" xfId="15" applyFont="1" applyFill="1" applyBorder="1" applyAlignment="1"/>
    <xf numFmtId="2" fontId="8" fillId="0" borderId="0" xfId="15" applyNumberFormat="1" applyFont="1" applyFill="1" applyAlignment="1">
      <alignment horizontal="right" vertical="center" indent="1"/>
    </xf>
    <xf numFmtId="2" fontId="5" fillId="0" borderId="0" xfId="15" applyNumberFormat="1" applyFont="1" applyFill="1" applyAlignment="1">
      <alignment vertical="center"/>
    </xf>
    <xf numFmtId="2" fontId="5" fillId="0" borderId="0" xfId="15" applyNumberFormat="1" applyFont="1" applyFill="1"/>
    <xf numFmtId="2" fontId="5" fillId="0" borderId="0" xfId="15" applyNumberFormat="1" applyFont="1" applyFill="1" applyAlignment="1">
      <alignment horizontal="right" vertical="center" indent="1"/>
    </xf>
    <xf numFmtId="2" fontId="5" fillId="0" borderId="0" xfId="15" applyNumberFormat="1" applyFont="1" applyFill="1" applyBorder="1" applyAlignment="1">
      <alignment horizontal="right" indent="1"/>
    </xf>
    <xf numFmtId="2" fontId="5" fillId="5" borderId="0" xfId="15" applyNumberFormat="1" applyFont="1" applyFill="1" applyAlignment="1">
      <alignment horizontal="right" vertical="center" indent="1"/>
    </xf>
    <xf numFmtId="2" fontId="5" fillId="5" borderId="0" xfId="15" applyNumberFormat="1" applyFont="1" applyFill="1" applyAlignment="1">
      <alignment vertical="center"/>
    </xf>
    <xf numFmtId="2" fontId="5" fillId="5" borderId="0" xfId="15" applyNumberFormat="1" applyFont="1" applyFill="1"/>
    <xf numFmtId="0" fontId="8" fillId="0" borderId="1" xfId="15" applyFont="1" applyFill="1" applyBorder="1" applyAlignment="1">
      <alignment horizontal="center"/>
    </xf>
    <xf numFmtId="0" fontId="5" fillId="0" borderId="1" xfId="15" applyFont="1" applyFill="1" applyBorder="1"/>
    <xf numFmtId="167" fontId="5" fillId="0" borderId="1" xfId="5" applyNumberFormat="1" applyFont="1" applyFill="1" applyBorder="1" applyProtection="1"/>
    <xf numFmtId="167" fontId="5" fillId="0" borderId="1" xfId="5" applyNumberFormat="1" applyFont="1" applyFill="1" applyBorder="1"/>
    <xf numFmtId="168" fontId="5" fillId="0" borderId="1" xfId="15" applyNumberFormat="1" applyFont="1" applyFill="1" applyBorder="1" applyProtection="1"/>
    <xf numFmtId="165" fontId="5" fillId="0" borderId="1" xfId="5" applyNumberFormat="1" applyFont="1" applyFill="1" applyBorder="1" applyProtection="1"/>
    <xf numFmtId="2" fontId="8" fillId="0" borderId="0" xfId="15" applyNumberFormat="1" applyFont="1" applyFill="1" applyAlignment="1">
      <alignment horizontal="right" vertical="center" indent="2"/>
    </xf>
    <xf numFmtId="2" fontId="5" fillId="0" borderId="0" xfId="15" applyNumberFormat="1" applyFont="1" applyFill="1" applyBorder="1" applyAlignment="1">
      <alignment horizontal="right" vertical="center" indent="2"/>
    </xf>
    <xf numFmtId="0" fontId="5" fillId="5" borderId="0" xfId="15" applyFont="1" applyFill="1" applyAlignment="1">
      <alignment horizontal="right" vertical="center" indent="2"/>
    </xf>
    <xf numFmtId="0" fontId="5" fillId="5" borderId="0" xfId="15" applyFont="1" applyFill="1" applyBorder="1" applyAlignment="1">
      <alignment horizontal="right" vertical="center" indent="2"/>
    </xf>
    <xf numFmtId="2" fontId="5" fillId="5" borderId="0" xfId="15" applyNumberFormat="1" applyFont="1" applyFill="1" applyAlignment="1">
      <alignment horizontal="right" vertical="center" indent="2"/>
    </xf>
    <xf numFmtId="2" fontId="5" fillId="0" borderId="0" xfId="15" applyNumberFormat="1" applyFont="1" applyFill="1" applyAlignment="1">
      <alignment horizontal="right" vertical="center" indent="2"/>
    </xf>
    <xf numFmtId="0" fontId="5" fillId="5" borderId="0" xfId="15" applyFont="1" applyFill="1" applyAlignment="1"/>
    <xf numFmtId="0" fontId="5" fillId="3" borderId="0" xfId="15" applyFont="1" applyFill="1"/>
    <xf numFmtId="0" fontId="5" fillId="5" borderId="2" xfId="15" applyFont="1" applyFill="1" applyBorder="1" applyAlignment="1">
      <alignment horizontal="center"/>
    </xf>
    <xf numFmtId="165" fontId="5" fillId="5" borderId="0" xfId="15" applyNumberFormat="1" applyFont="1" applyFill="1"/>
    <xf numFmtId="0" fontId="5" fillId="0" borderId="0" xfId="15" applyFont="1" applyFill="1" applyBorder="1" applyAlignment="1">
      <alignment horizontal="right" vertical="center"/>
    </xf>
    <xf numFmtId="0" fontId="5" fillId="0" borderId="2" xfId="15" applyFont="1" applyFill="1" applyBorder="1" applyAlignment="1">
      <alignment horizontal="right" indent="2"/>
    </xf>
    <xf numFmtId="167" fontId="5" fillId="0" borderId="2" xfId="5" applyNumberFormat="1" applyFont="1" applyFill="1" applyBorder="1" applyAlignment="1" applyProtection="1">
      <alignment horizontal="right" indent="2"/>
    </xf>
    <xf numFmtId="167" fontId="5" fillId="0" borderId="2" xfId="5" applyNumberFormat="1" applyFont="1" applyFill="1" applyBorder="1" applyAlignment="1">
      <alignment horizontal="right" indent="2"/>
    </xf>
    <xf numFmtId="168" fontId="5" fillId="0" borderId="2" xfId="15" applyNumberFormat="1" applyFont="1" applyFill="1" applyBorder="1" applyAlignment="1" applyProtection="1">
      <alignment horizontal="right" indent="2"/>
    </xf>
    <xf numFmtId="165" fontId="5" fillId="0" borderId="2" xfId="5" applyNumberFormat="1" applyFont="1" applyFill="1" applyBorder="1" applyAlignment="1" applyProtection="1">
      <alignment horizontal="right" indent="2"/>
    </xf>
    <xf numFmtId="2" fontId="8" fillId="0" borderId="0" xfId="0" applyNumberFormat="1" applyFont="1" applyFill="1" applyBorder="1" applyAlignment="1"/>
    <xf numFmtId="2" fontId="5" fillId="0" borderId="0" xfId="15" applyNumberFormat="1" applyFont="1" applyFill="1" applyBorder="1" applyAlignment="1">
      <alignment horizontal="right" vertical="center" indent="1"/>
    </xf>
    <xf numFmtId="0" fontId="8" fillId="6" borderId="0" xfId="15" applyFont="1" applyFill="1" applyBorder="1" applyAlignment="1">
      <alignment horizontal="center" vertical="center" wrapText="1"/>
    </xf>
    <xf numFmtId="3" fontId="8" fillId="0" borderId="0" xfId="15" applyNumberFormat="1" applyFont="1" applyFill="1" applyAlignment="1">
      <alignment horizontal="right" vertical="center" indent="1"/>
    </xf>
    <xf numFmtId="3" fontId="5" fillId="0" borderId="0" xfId="15" applyNumberFormat="1" applyFont="1" applyFill="1" applyAlignment="1">
      <alignment horizontal="right" vertical="center" indent="1"/>
    </xf>
    <xf numFmtId="3" fontId="5" fillId="0" borderId="0" xfId="15" applyNumberFormat="1" applyFont="1" applyFill="1" applyBorder="1" applyAlignment="1">
      <alignment horizontal="right" vertical="center" indent="1"/>
    </xf>
    <xf numFmtId="3" fontId="5" fillId="5" borderId="0" xfId="15" applyNumberFormat="1" applyFont="1" applyFill="1" applyAlignment="1">
      <alignment horizontal="right" vertical="center" indent="1"/>
    </xf>
    <xf numFmtId="169" fontId="5" fillId="0" borderId="2" xfId="15" applyNumberFormat="1" applyFont="1" applyFill="1" applyBorder="1" applyProtection="1"/>
    <xf numFmtId="0" fontId="5" fillId="0" borderId="0" xfId="15" applyFont="1" applyFill="1" applyBorder="1" applyAlignment="1">
      <alignment horizontal="right" vertical="center" indent="1"/>
    </xf>
    <xf numFmtId="3" fontId="8" fillId="0" borderId="0" xfId="15" applyNumberFormat="1" applyFont="1" applyFill="1" applyBorder="1" applyAlignment="1">
      <alignment horizontal="right" vertical="center" indent="1"/>
    </xf>
    <xf numFmtId="167" fontId="5" fillId="0" borderId="0" xfId="15" applyNumberFormat="1" applyFont="1" applyFill="1" applyAlignment="1">
      <alignment vertical="center"/>
    </xf>
    <xf numFmtId="3" fontId="5" fillId="0" borderId="0" xfId="15" applyNumberFormat="1" applyFont="1" applyFill="1" applyBorder="1" applyAlignment="1">
      <alignment horizontal="right" indent="1"/>
    </xf>
    <xf numFmtId="0" fontId="5" fillId="5" borderId="0" xfId="15" applyFont="1" applyFill="1" applyAlignment="1">
      <alignment horizontal="left" vertical="center" indent="1"/>
    </xf>
    <xf numFmtId="3" fontId="5" fillId="5" borderId="0" xfId="5" applyNumberFormat="1" applyFont="1" applyFill="1" applyBorder="1" applyAlignment="1">
      <alignment horizontal="right" vertical="center" indent="1"/>
    </xf>
    <xf numFmtId="167" fontId="5" fillId="5" borderId="0" xfId="15" applyNumberFormat="1" applyFont="1" applyFill="1" applyAlignment="1">
      <alignment vertical="center"/>
    </xf>
    <xf numFmtId="0" fontId="5" fillId="0" borderId="0" xfId="15" applyFont="1" applyFill="1" applyAlignment="1">
      <alignment horizontal="left" vertical="center" indent="1"/>
    </xf>
    <xf numFmtId="3" fontId="5" fillId="0" borderId="0" xfId="5" applyNumberFormat="1" applyFont="1" applyFill="1" applyBorder="1" applyAlignment="1">
      <alignment horizontal="right" vertical="center" indent="1"/>
    </xf>
    <xf numFmtId="3" fontId="5" fillId="5" borderId="0" xfId="1" applyNumberFormat="1" applyFont="1" applyFill="1" applyBorder="1" applyAlignment="1">
      <alignment horizontal="right" vertical="center" indent="1"/>
    </xf>
    <xf numFmtId="3" fontId="8" fillId="0" borderId="0" xfId="1" applyNumberFormat="1" applyFont="1" applyFill="1" applyBorder="1" applyAlignment="1">
      <alignment horizontal="right" vertical="center" indent="1"/>
    </xf>
    <xf numFmtId="0" fontId="8" fillId="0" borderId="0" xfId="15" applyFont="1" applyFill="1" applyAlignment="1">
      <alignment wrapText="1"/>
    </xf>
    <xf numFmtId="167" fontId="5" fillId="0" borderId="0" xfId="15" applyNumberFormat="1" applyFont="1" applyFill="1"/>
    <xf numFmtId="167" fontId="5" fillId="3" borderId="0" xfId="15" applyNumberFormat="1" applyFont="1" applyFill="1"/>
    <xf numFmtId="167" fontId="5" fillId="5" borderId="0" xfId="15" applyNumberFormat="1" applyFont="1" applyFill="1"/>
    <xf numFmtId="0" fontId="5" fillId="0" borderId="0" xfId="0" applyFont="1" applyFill="1" applyAlignment="1">
      <alignment horizontal="left" vertical="center" indent="2"/>
    </xf>
    <xf numFmtId="0" fontId="5" fillId="0" borderId="0" xfId="0" applyFont="1" applyFill="1" applyAlignment="1">
      <alignment horizontal="left" vertical="center"/>
    </xf>
    <xf numFmtId="0" fontId="5" fillId="0" borderId="0" xfId="15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 indent="2"/>
    </xf>
    <xf numFmtId="0" fontId="5" fillId="5" borderId="0" xfId="0" applyFont="1" applyFill="1" applyAlignment="1">
      <alignment horizontal="left" vertical="center"/>
    </xf>
    <xf numFmtId="0" fontId="5" fillId="5" borderId="0" xfId="15" applyFont="1" applyFill="1" applyBorder="1" applyAlignment="1">
      <alignment horizontal="left" vertical="center"/>
    </xf>
    <xf numFmtId="0" fontId="8" fillId="0" borderId="0" xfId="15" applyFont="1" applyFill="1" applyAlignment="1">
      <alignment horizontal="left" vertical="center" wrapText="1"/>
    </xf>
    <xf numFmtId="0" fontId="5" fillId="0" borderId="0" xfId="15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5" fillId="0" borderId="0" xfId="15" applyFont="1" applyFill="1" applyAlignment="1">
      <alignment vertical="top"/>
    </xf>
    <xf numFmtId="0" fontId="5" fillId="0" borderId="0" xfId="15" applyFont="1" applyFill="1" applyAlignment="1">
      <alignment horizontal="center" vertical="top"/>
    </xf>
    <xf numFmtId="165" fontId="5" fillId="0" borderId="0" xfId="15" applyNumberFormat="1" applyFont="1" applyFill="1" applyAlignment="1">
      <alignment vertical="top"/>
    </xf>
    <xf numFmtId="0" fontId="5" fillId="0" borderId="0" xfId="4" applyFont="1" applyFill="1" applyAlignment="1"/>
    <xf numFmtId="0" fontId="7" fillId="0" borderId="0" xfId="0" applyFont="1" applyFill="1" applyAlignment="1">
      <alignment horizontal="right"/>
    </xf>
    <xf numFmtId="0" fontId="5" fillId="5" borderId="0" xfId="4" applyFont="1" applyFill="1" applyBorder="1"/>
    <xf numFmtId="165" fontId="5" fillId="6" borderId="2" xfId="4" applyNumberFormat="1" applyFont="1" applyFill="1" applyBorder="1"/>
    <xf numFmtId="173" fontId="5" fillId="0" borderId="0" xfId="4" applyNumberFormat="1" applyFont="1" applyFill="1" applyAlignment="1">
      <alignment horizontal="right"/>
    </xf>
    <xf numFmtId="0" fontId="5" fillId="0" borderId="0" xfId="4" applyFont="1" applyFill="1" applyAlignment="1">
      <alignment horizontal="right" indent="2"/>
    </xf>
    <xf numFmtId="166" fontId="8" fillId="5" borderId="0" xfId="4" applyNumberFormat="1" applyFont="1" applyFill="1"/>
    <xf numFmtId="0" fontId="7" fillId="5" borderId="0" xfId="4" applyFont="1" applyFill="1" applyBorder="1" applyAlignment="1">
      <alignment horizontal="left" indent="1"/>
    </xf>
    <xf numFmtId="0" fontId="8" fillId="0" borderId="2" xfId="4" applyFont="1" applyFill="1" applyBorder="1" applyAlignment="1">
      <alignment horizontal="center"/>
    </xf>
    <xf numFmtId="0" fontId="8" fillId="0" borderId="0" xfId="4" applyFont="1" applyFill="1" applyBorder="1" applyAlignment="1">
      <alignment horizontal="right" vertical="top"/>
    </xf>
    <xf numFmtId="0" fontId="8" fillId="0" borderId="0" xfId="4" applyFont="1" applyFill="1" applyAlignment="1">
      <alignment vertical="top"/>
    </xf>
    <xf numFmtId="171" fontId="8" fillId="0" borderId="0" xfId="1" applyNumberFormat="1" applyFont="1" applyFill="1" applyBorder="1" applyAlignment="1">
      <alignment horizontal="right" vertical="top" indent="1"/>
    </xf>
    <xf numFmtId="171" fontId="8" fillId="0" borderId="0" xfId="4" applyNumberFormat="1" applyFont="1" applyFill="1" applyAlignment="1">
      <alignment horizontal="right" vertical="top" indent="1"/>
    </xf>
    <xf numFmtId="171" fontId="8" fillId="0" borderId="0" xfId="4" applyNumberFormat="1" applyFont="1" applyFill="1" applyAlignment="1">
      <alignment horizontal="right" vertical="top"/>
    </xf>
    <xf numFmtId="0" fontId="8" fillId="5" borderId="0" xfId="4" applyFont="1" applyFill="1" applyAlignment="1">
      <alignment wrapText="1"/>
    </xf>
    <xf numFmtId="0" fontId="8" fillId="5" borderId="0" xfId="4" applyFont="1" applyFill="1" applyAlignment="1">
      <alignment horizontal="left" wrapText="1" indent="1"/>
    </xf>
    <xf numFmtId="171" fontId="8" fillId="5" borderId="0" xfId="4" applyNumberFormat="1" applyFont="1" applyFill="1" applyAlignment="1">
      <alignment horizontal="right" indent="1"/>
    </xf>
    <xf numFmtId="171" fontId="7" fillId="5" borderId="0" xfId="4" applyNumberFormat="1" applyFont="1" applyFill="1" applyAlignment="1">
      <alignment horizontal="right" vertical="top" indent="1"/>
    </xf>
    <xf numFmtId="171" fontId="7" fillId="5" borderId="0" xfId="4" applyNumberFormat="1" applyFont="1" applyFill="1"/>
    <xf numFmtId="0" fontId="7" fillId="0" borderId="0" xfId="4" applyFont="1" applyFill="1" applyBorder="1" applyAlignment="1">
      <alignment horizontal="left" vertical="top"/>
    </xf>
    <xf numFmtId="171" fontId="7" fillId="0" borderId="0" xfId="4" applyNumberFormat="1" applyFont="1" applyFill="1" applyAlignment="1">
      <alignment horizontal="right" vertical="top" indent="1"/>
    </xf>
    <xf numFmtId="171" fontId="7" fillId="0" borderId="0" xfId="4" applyNumberFormat="1" applyFont="1" applyFill="1" applyAlignment="1">
      <alignment horizontal="right" vertical="top"/>
    </xf>
    <xf numFmtId="0" fontId="8" fillId="5" borderId="0" xfId="4" applyFont="1" applyFill="1" applyBorder="1" applyAlignment="1">
      <alignment horizontal="left" indent="1"/>
    </xf>
    <xf numFmtId="171" fontId="8" fillId="5" borderId="0" xfId="4" applyNumberFormat="1" applyFont="1" applyFill="1" applyAlignment="1">
      <alignment horizontal="right" vertical="top" indent="1"/>
    </xf>
    <xf numFmtId="0" fontId="7" fillId="0" borderId="0" xfId="4" applyFont="1" applyFill="1" applyBorder="1" applyAlignment="1">
      <alignment horizontal="left" indent="1"/>
    </xf>
    <xf numFmtId="0" fontId="5" fillId="5" borderId="0" xfId="4" applyFont="1" applyFill="1" applyBorder="1" applyAlignment="1">
      <alignment horizontal="right"/>
    </xf>
    <xf numFmtId="0" fontId="8" fillId="6" borderId="0" xfId="4" applyFont="1" applyFill="1" applyBorder="1" applyAlignment="1">
      <alignment wrapText="1"/>
    </xf>
    <xf numFmtId="0" fontId="5" fillId="5" borderId="0" xfId="2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165" fontId="5" fillId="0" borderId="0" xfId="4" applyNumberFormat="1" applyFont="1" applyFill="1" applyAlignment="1">
      <alignment vertical="center"/>
    </xf>
    <xf numFmtId="0" fontId="5" fillId="5" borderId="0" xfId="4" applyFont="1" applyFill="1" applyAlignment="1">
      <alignment horizontal="left" vertical="center" wrapText="1" indent="2"/>
    </xf>
    <xf numFmtId="0" fontId="5" fillId="5" borderId="0" xfId="4" applyFont="1" applyFill="1" applyAlignment="1">
      <alignment horizontal="left" vertical="center" wrapText="1"/>
    </xf>
    <xf numFmtId="0" fontId="5" fillId="5" borderId="0" xfId="4" applyFont="1" applyFill="1" applyBorder="1" applyAlignment="1">
      <alignment vertical="center"/>
    </xf>
    <xf numFmtId="0" fontId="5" fillId="5" borderId="0" xfId="4" applyFont="1" applyFill="1" applyAlignment="1">
      <alignment vertical="center"/>
    </xf>
    <xf numFmtId="165" fontId="5" fillId="5" borderId="0" xfId="4" applyNumberFormat="1" applyFont="1" applyFill="1" applyAlignment="1">
      <alignment vertical="center"/>
    </xf>
    <xf numFmtId="0" fontId="5" fillId="0" borderId="0" xfId="4" applyFont="1" applyFill="1" applyAlignment="1">
      <alignment horizontal="left" vertical="center" wrapText="1" indent="2"/>
    </xf>
    <xf numFmtId="0" fontId="5" fillId="0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left" vertical="center" indent="2"/>
    </xf>
    <xf numFmtId="0" fontId="5" fillId="5" borderId="0" xfId="4" applyFont="1" applyFill="1" applyAlignment="1">
      <alignment vertical="center" wrapText="1"/>
    </xf>
    <xf numFmtId="0" fontId="5" fillId="0" borderId="0" xfId="4" applyFont="1" applyFill="1" applyAlignment="1">
      <alignment horizontal="left" vertical="center" indent="2"/>
    </xf>
    <xf numFmtId="0" fontId="5" fillId="0" borderId="0" xfId="4" applyFont="1" applyFill="1" applyAlignment="1">
      <alignment horizontal="left" vertical="center"/>
    </xf>
    <xf numFmtId="0" fontId="5" fillId="5" borderId="0" xfId="4" applyFont="1" applyFill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8" fillId="5" borderId="0" xfId="4" applyFont="1" applyFill="1" applyBorder="1" applyAlignment="1">
      <alignment horizontal="left" vertical="center"/>
    </xf>
    <xf numFmtId="0" fontId="7" fillId="5" borderId="0" xfId="4" applyFont="1" applyFill="1" applyBorder="1" applyAlignment="1">
      <alignment vertical="center"/>
    </xf>
    <xf numFmtId="0" fontId="7" fillId="5" borderId="0" xfId="4" applyFont="1" applyFill="1" applyAlignment="1">
      <alignment vertical="center"/>
    </xf>
    <xf numFmtId="0" fontId="5" fillId="0" borderId="0" xfId="4" applyFont="1" applyFill="1" applyBorder="1" applyAlignment="1">
      <alignment horizontal="left" vertical="center" indent="2"/>
    </xf>
    <xf numFmtId="0" fontId="7" fillId="0" borderId="0" xfId="4" applyFont="1" applyFill="1" applyAlignment="1">
      <alignment vertical="center"/>
    </xf>
    <xf numFmtId="0" fontId="5" fillId="5" borderId="0" xfId="4" applyFont="1" applyFill="1" applyBorder="1" applyAlignment="1">
      <alignment horizontal="left" vertical="center" indent="2"/>
    </xf>
    <xf numFmtId="0" fontId="8" fillId="5" borderId="0" xfId="4" applyFont="1" applyFill="1" applyAlignment="1">
      <alignment vertical="center"/>
    </xf>
    <xf numFmtId="0" fontId="8" fillId="0" borderId="2" xfId="4" applyFont="1" applyFill="1" applyBorder="1" applyAlignment="1">
      <alignment horizontal="left"/>
    </xf>
    <xf numFmtId="167" fontId="5" fillId="0" borderId="2" xfId="1" applyNumberFormat="1" applyFont="1" applyFill="1" applyBorder="1" applyAlignment="1" applyProtection="1">
      <alignment horizontal="right"/>
    </xf>
    <xf numFmtId="167" fontId="5" fillId="0" borderId="2" xfId="1" applyNumberFormat="1" applyFont="1" applyFill="1" applyBorder="1"/>
    <xf numFmtId="167" fontId="5" fillId="0" borderId="2" xfId="1" applyNumberFormat="1" applyFont="1" applyFill="1" applyBorder="1" applyProtection="1"/>
    <xf numFmtId="168" fontId="5" fillId="0" borderId="0" xfId="4" applyNumberFormat="1" applyFont="1" applyFill="1" applyBorder="1" applyProtection="1"/>
    <xf numFmtId="0" fontId="8" fillId="0" borderId="0" xfId="4" applyFont="1" applyFill="1" applyBorder="1" applyAlignment="1">
      <alignment wrapText="1"/>
    </xf>
    <xf numFmtId="0" fontId="8" fillId="0" borderId="0" xfId="4" applyFont="1" applyFill="1" applyBorder="1" applyAlignment="1">
      <alignment horizontal="center"/>
    </xf>
    <xf numFmtId="165" fontId="5" fillId="0" borderId="0" xfId="5" applyNumberFormat="1" applyFont="1" applyFill="1" applyBorder="1" applyProtection="1"/>
    <xf numFmtId="0" fontId="12" fillId="0" borderId="0" xfId="0" applyFont="1" applyFill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4" applyFont="1" applyFill="1" applyAlignment="1">
      <alignment vertical="top"/>
    </xf>
    <xf numFmtId="0" fontId="13" fillId="0" borderId="0" xfId="4" applyFont="1" applyFill="1" applyAlignment="1">
      <alignment horizontal="center" vertical="top"/>
    </xf>
    <xf numFmtId="0" fontId="13" fillId="0" borderId="0" xfId="4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13" fillId="0" borderId="0" xfId="0" applyFont="1" applyFill="1"/>
    <xf numFmtId="0" fontId="12" fillId="0" borderId="0" xfId="4" applyFont="1" applyFill="1" applyAlignment="1">
      <alignment horizontal="right" vertical="top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15" applyFont="1" applyFill="1" applyAlignment="1">
      <alignment horizontal="left" vertical="top"/>
    </xf>
    <xf numFmtId="165" fontId="13" fillId="0" borderId="0" xfId="4" applyNumberFormat="1" applyFont="1" applyFill="1" applyAlignment="1">
      <alignment vertical="top"/>
    </xf>
    <xf numFmtId="0" fontId="12" fillId="5" borderId="0" xfId="4" applyFont="1" applyFill="1" applyAlignment="1">
      <alignment horizontal="left" vertical="top" indent="1"/>
    </xf>
    <xf numFmtId="0" fontId="12" fillId="0" borderId="0" xfId="4" applyFont="1" applyFill="1" applyAlignment="1">
      <alignment horizontal="left" vertical="top" indent="1"/>
    </xf>
    <xf numFmtId="0" fontId="13" fillId="0" borderId="0" xfId="0" applyFont="1" applyFill="1" applyAlignment="1">
      <alignment vertical="top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vertical="top"/>
    </xf>
    <xf numFmtId="0" fontId="13" fillId="0" borderId="0" xfId="15" applyFont="1" applyFill="1" applyAlignment="1"/>
    <xf numFmtId="0" fontId="13" fillId="0" borderId="0" xfId="15" applyFont="1" applyFill="1"/>
    <xf numFmtId="0" fontId="12" fillId="5" borderId="0" xfId="15" applyFont="1" applyFill="1" applyAlignment="1">
      <alignment horizontal="left" vertical="top" indent="1"/>
    </xf>
    <xf numFmtId="0" fontId="12" fillId="0" borderId="0" xfId="15" applyFont="1" applyFill="1" applyAlignment="1">
      <alignment vertical="top"/>
    </xf>
    <xf numFmtId="0" fontId="12" fillId="0" borderId="0" xfId="0" applyFont="1" applyFill="1" applyBorder="1" applyAlignment="1">
      <alignment horizontal="left" vertical="top" indent="1"/>
    </xf>
    <xf numFmtId="0" fontId="12" fillId="0" borderId="0" xfId="0" applyFont="1" applyAlignment="1">
      <alignment horizontal="left" vertical="top"/>
    </xf>
    <xf numFmtId="0" fontId="15" fillId="0" borderId="0" xfId="0" applyFont="1" applyFill="1" applyAlignment="1">
      <alignment vertical="top"/>
    </xf>
    <xf numFmtId="0" fontId="7" fillId="5" borderId="0" xfId="3" applyFont="1" applyFill="1" applyAlignment="1">
      <alignment vertical="top" wrapText="1"/>
    </xf>
    <xf numFmtId="0" fontId="12" fillId="5" borderId="0" xfId="3" applyFont="1" applyFill="1" applyAlignment="1">
      <alignment horizontal="left" vertical="top" indent="1"/>
    </xf>
    <xf numFmtId="0" fontId="12" fillId="0" borderId="0" xfId="4" applyFont="1" applyFill="1" applyAlignment="1">
      <alignment horizontal="left" vertical="top"/>
    </xf>
    <xf numFmtId="0" fontId="8" fillId="5" borderId="0" xfId="15" applyFont="1" applyFill="1" applyBorder="1" applyAlignment="1">
      <alignment horizontal="center" vertical="center" wrapText="1"/>
    </xf>
    <xf numFmtId="174" fontId="5" fillId="0" borderId="0" xfId="15" applyNumberFormat="1" applyFont="1" applyFill="1"/>
    <xf numFmtId="0" fontId="5" fillId="6" borderId="0" xfId="15" applyFont="1" applyFill="1" applyBorder="1" applyAlignment="1">
      <alignment horizontal="right"/>
    </xf>
    <xf numFmtId="2" fontId="5" fillId="5" borderId="0" xfId="15" applyNumberFormat="1" applyFont="1" applyFill="1" applyBorder="1" applyAlignment="1">
      <alignment horizontal="right" vertical="center" indent="1"/>
    </xf>
    <xf numFmtId="2" fontId="8" fillId="0" borderId="0" xfId="15" applyNumberFormat="1" applyFont="1" applyFill="1" applyBorder="1" applyAlignment="1">
      <alignment horizontal="right" vertical="center" indent="1"/>
    </xf>
    <xf numFmtId="0" fontId="12" fillId="0" borderId="0" xfId="4" applyFont="1" applyFill="1" applyBorder="1" applyAlignment="1">
      <alignment vertical="top"/>
    </xf>
    <xf numFmtId="172" fontId="8" fillId="0" borderId="0" xfId="4" applyNumberFormat="1" applyFont="1" applyFill="1" applyAlignment="1">
      <alignment horizontal="right" indent="1"/>
    </xf>
    <xf numFmtId="0" fontId="7" fillId="0" borderId="0" xfId="4" applyFont="1" applyFill="1" applyAlignment="1">
      <alignment horizontal="right" indent="1"/>
    </xf>
    <xf numFmtId="3" fontId="8" fillId="0" borderId="0" xfId="15" applyNumberFormat="1" applyFont="1" applyFill="1" applyAlignment="1">
      <alignment horizontal="right" vertical="center" indent="2"/>
    </xf>
    <xf numFmtId="3" fontId="8" fillId="0" borderId="0" xfId="15" applyNumberFormat="1" applyFont="1" applyFill="1" applyBorder="1" applyAlignment="1">
      <alignment horizontal="right" vertical="center" indent="2"/>
    </xf>
    <xf numFmtId="0" fontId="8" fillId="0" borderId="0" xfId="15" applyFont="1" applyFill="1" applyBorder="1" applyAlignment="1">
      <alignment horizontal="right" vertical="center" indent="2"/>
    </xf>
    <xf numFmtId="3" fontId="5" fillId="0" borderId="0" xfId="15" applyNumberFormat="1" applyFont="1" applyFill="1" applyBorder="1" applyAlignment="1">
      <alignment horizontal="right" vertical="center" indent="2"/>
    </xf>
    <xf numFmtId="0" fontId="5" fillId="0" borderId="0" xfId="15" applyFont="1" applyFill="1" applyBorder="1" applyAlignment="1">
      <alignment horizontal="right" vertical="center" indent="2"/>
    </xf>
    <xf numFmtId="3" fontId="8" fillId="5" borderId="0" xfId="15" applyNumberFormat="1" applyFont="1" applyFill="1" applyBorder="1" applyAlignment="1">
      <alignment horizontal="right" vertical="center" indent="2"/>
    </xf>
    <xf numFmtId="0" fontId="8" fillId="5" borderId="0" xfId="15" applyFont="1" applyFill="1" applyBorder="1" applyAlignment="1">
      <alignment horizontal="right" vertical="center" indent="2"/>
    </xf>
    <xf numFmtId="3" fontId="5" fillId="0" borderId="0" xfId="15" applyNumberFormat="1" applyFont="1" applyFill="1" applyBorder="1" applyAlignment="1" applyProtection="1">
      <alignment horizontal="right" vertical="center" indent="2"/>
    </xf>
    <xf numFmtId="3" fontId="9" fillId="0" borderId="0" xfId="15" applyNumberFormat="1" applyFont="1" applyFill="1" applyBorder="1" applyAlignment="1" applyProtection="1">
      <alignment horizontal="right" vertical="center" indent="2"/>
    </xf>
    <xf numFmtId="3" fontId="5" fillId="0" borderId="0" xfId="5" applyNumberFormat="1" applyFont="1" applyFill="1" applyBorder="1" applyAlignment="1" applyProtection="1">
      <alignment horizontal="right" vertical="center" indent="2"/>
    </xf>
    <xf numFmtId="3" fontId="5" fillId="0" borderId="0" xfId="5" applyNumberFormat="1" applyFont="1" applyFill="1" applyBorder="1" applyAlignment="1">
      <alignment horizontal="right" vertical="center" indent="2"/>
    </xf>
    <xf numFmtId="167" fontId="5" fillId="0" borderId="0" xfId="5" applyNumberFormat="1" applyFont="1" applyFill="1" applyBorder="1" applyAlignment="1">
      <alignment horizontal="right" vertical="center" indent="2"/>
    </xf>
    <xf numFmtId="3" fontId="5" fillId="5" borderId="0" xfId="15" applyNumberFormat="1" applyFont="1" applyFill="1" applyBorder="1" applyAlignment="1" applyProtection="1">
      <alignment horizontal="right" vertical="center" indent="2"/>
    </xf>
    <xf numFmtId="3" fontId="5" fillId="5" borderId="0" xfId="15" quotePrefix="1" applyNumberFormat="1" applyFont="1" applyFill="1" applyBorder="1" applyAlignment="1" applyProtection="1">
      <alignment horizontal="right" vertical="center" indent="2"/>
    </xf>
    <xf numFmtId="3" fontId="5" fillId="5" borderId="0" xfId="5" applyNumberFormat="1" applyFont="1" applyFill="1" applyBorder="1" applyAlignment="1" applyProtection="1">
      <alignment horizontal="right" vertical="center" indent="2"/>
    </xf>
    <xf numFmtId="3" fontId="5" fillId="5" borderId="0" xfId="5" applyNumberFormat="1" applyFont="1" applyFill="1" applyBorder="1" applyAlignment="1">
      <alignment horizontal="right" vertical="center" indent="2"/>
    </xf>
    <xf numFmtId="167" fontId="5" fillId="5" borderId="0" xfId="5" applyNumberFormat="1" applyFont="1" applyFill="1" applyBorder="1" applyAlignment="1">
      <alignment horizontal="right" vertical="center" indent="2"/>
    </xf>
    <xf numFmtId="3" fontId="5" fillId="0" borderId="0" xfId="15" quotePrefix="1" applyNumberFormat="1" applyFont="1" applyFill="1" applyBorder="1" applyAlignment="1" applyProtection="1">
      <alignment horizontal="right" vertical="center" indent="2"/>
    </xf>
    <xf numFmtId="3" fontId="8" fillId="5" borderId="0" xfId="1" applyNumberFormat="1" applyFont="1" applyFill="1" applyBorder="1" applyAlignment="1">
      <alignment horizontal="right" vertical="center" indent="2"/>
    </xf>
    <xf numFmtId="167" fontId="8" fillId="5" borderId="0" xfId="1" applyNumberFormat="1" applyFont="1" applyFill="1" applyBorder="1" applyAlignment="1">
      <alignment horizontal="right" vertical="center" indent="2"/>
    </xf>
    <xf numFmtId="3" fontId="8" fillId="0" borderId="0" xfId="15" applyNumberFormat="1" applyFont="1" applyAlignment="1">
      <alignment horizontal="right" vertical="center" indent="2"/>
    </xf>
    <xf numFmtId="3" fontId="5" fillId="0" borderId="0" xfId="15" applyNumberFormat="1" applyFont="1" applyAlignment="1">
      <alignment horizontal="right" vertical="center" indent="2"/>
    </xf>
    <xf numFmtId="3" fontId="5" fillId="0" borderId="0" xfId="15" quotePrefix="1" applyNumberFormat="1" applyFont="1" applyAlignment="1">
      <alignment horizontal="right" vertical="center" indent="2"/>
    </xf>
    <xf numFmtId="3" fontId="8" fillId="5" borderId="0" xfId="15" applyNumberFormat="1" applyFont="1" applyFill="1" applyAlignment="1">
      <alignment horizontal="right" vertical="center" indent="2"/>
    </xf>
    <xf numFmtId="3" fontId="5" fillId="5" borderId="0" xfId="15" applyNumberFormat="1" applyFont="1" applyFill="1" applyAlignment="1">
      <alignment horizontal="right" vertical="center" indent="2"/>
    </xf>
    <xf numFmtId="3" fontId="5" fillId="5" borderId="0" xfId="15" quotePrefix="1" applyNumberFormat="1" applyFont="1" applyFill="1" applyAlignment="1">
      <alignment horizontal="right" vertical="center" indent="2"/>
    </xf>
    <xf numFmtId="3" fontId="8" fillId="0" borderId="0" xfId="1" applyNumberFormat="1" applyFont="1" applyFill="1" applyAlignment="1">
      <alignment horizontal="right" vertical="center" indent="2"/>
    </xf>
    <xf numFmtId="3" fontId="5" fillId="5" borderId="0" xfId="1" applyNumberFormat="1" applyFont="1" applyFill="1" applyAlignment="1">
      <alignment horizontal="right" vertical="center" indent="2"/>
    </xf>
    <xf numFmtId="3" fontId="5" fillId="0" borderId="0" xfId="1" applyNumberFormat="1" applyFont="1" applyFill="1" applyAlignment="1">
      <alignment horizontal="right" vertical="center" indent="2"/>
    </xf>
    <xf numFmtId="3" fontId="8" fillId="0" borderId="0" xfId="1" applyNumberFormat="1" applyFont="1" applyFill="1" applyAlignment="1">
      <alignment horizontal="right" vertical="center" indent="4"/>
    </xf>
    <xf numFmtId="3" fontId="5" fillId="0" borderId="0" xfId="1" applyNumberFormat="1" applyFont="1" applyFill="1" applyAlignment="1">
      <alignment horizontal="right" indent="4"/>
    </xf>
    <xf numFmtId="3" fontId="5" fillId="0" borderId="0" xfId="1" applyNumberFormat="1" applyFont="1" applyFill="1" applyBorder="1" applyAlignment="1">
      <alignment horizontal="right" indent="4"/>
    </xf>
    <xf numFmtId="3" fontId="5" fillId="5" borderId="0" xfId="1" applyNumberFormat="1" applyFont="1" applyFill="1" applyAlignment="1">
      <alignment horizontal="right" vertical="center" indent="4"/>
    </xf>
    <xf numFmtId="3" fontId="5" fillId="0" borderId="0" xfId="1" applyNumberFormat="1" applyFont="1" applyFill="1" applyAlignment="1">
      <alignment horizontal="right" vertical="center" indent="4"/>
    </xf>
    <xf numFmtId="3" fontId="8" fillId="0" borderId="0" xfId="4" applyNumberFormat="1" applyFont="1" applyFill="1" applyAlignment="1">
      <alignment horizontal="right" vertical="center" indent="2"/>
    </xf>
    <xf numFmtId="3" fontId="5" fillId="0" borderId="0" xfId="1" applyNumberFormat="1" applyFont="1" applyFill="1" applyBorder="1" applyAlignment="1">
      <alignment horizontal="right" vertical="center" indent="2"/>
    </xf>
    <xf numFmtId="165" fontId="8" fillId="0" borderId="0" xfId="4" applyNumberFormat="1" applyFont="1" applyFill="1" applyBorder="1" applyAlignment="1">
      <alignment horizontal="right" vertical="center" indent="2"/>
    </xf>
    <xf numFmtId="165" fontId="5" fillId="5" borderId="0" xfId="4" applyNumberFormat="1" applyFont="1" applyFill="1" applyBorder="1" applyAlignment="1">
      <alignment horizontal="right" vertical="center" indent="2"/>
    </xf>
    <xf numFmtId="165" fontId="5" fillId="0" borderId="0" xfId="4" applyNumberFormat="1" applyFont="1" applyFill="1" applyBorder="1" applyAlignment="1">
      <alignment horizontal="right" vertical="center" indent="2"/>
    </xf>
    <xf numFmtId="165" fontId="5" fillId="5" borderId="0" xfId="1" applyNumberFormat="1" applyFont="1" applyFill="1" applyBorder="1" applyAlignment="1">
      <alignment horizontal="right" vertical="center" indent="2"/>
    </xf>
    <xf numFmtId="165" fontId="5" fillId="0" borderId="0" xfId="1" applyNumberFormat="1" applyFont="1" applyFill="1" applyBorder="1" applyAlignment="1" applyProtection="1">
      <alignment horizontal="right" vertical="center" indent="2"/>
    </xf>
    <xf numFmtId="165" fontId="5" fillId="0" borderId="0" xfId="1" applyNumberFormat="1" applyFont="1" applyFill="1" applyBorder="1" applyAlignment="1">
      <alignment horizontal="right" vertical="center" indent="2"/>
    </xf>
    <xf numFmtId="165" fontId="5" fillId="0" borderId="0" xfId="1" applyNumberFormat="1" applyFont="1" applyFill="1" applyAlignment="1">
      <alignment horizontal="right" vertical="center" indent="2"/>
    </xf>
    <xf numFmtId="165" fontId="8" fillId="5" borderId="0" xfId="1" applyNumberFormat="1" applyFont="1" applyFill="1" applyBorder="1" applyAlignment="1">
      <alignment horizontal="right" vertical="center" indent="2"/>
    </xf>
    <xf numFmtId="165" fontId="5" fillId="5" borderId="0" xfId="4" applyNumberFormat="1" applyFont="1" applyFill="1" applyAlignment="1">
      <alignment horizontal="right" vertical="center" indent="2"/>
    </xf>
    <xf numFmtId="165" fontId="5" fillId="5" borderId="0" xfId="1" applyNumberFormat="1" applyFont="1" applyFill="1" applyAlignment="1">
      <alignment horizontal="right" vertical="center" indent="2"/>
    </xf>
    <xf numFmtId="2" fontId="5" fillId="5" borderId="0" xfId="15" applyNumberFormat="1" applyFont="1" applyFill="1" applyAlignment="1">
      <alignment horizontal="right" vertical="center" indent="1"/>
    </xf>
    <xf numFmtId="173" fontId="5" fillId="5" borderId="0" xfId="4" applyNumberFormat="1" applyFont="1" applyFill="1" applyAlignment="1">
      <alignment horizontal="center"/>
    </xf>
    <xf numFmtId="0" fontId="12" fillId="0" borderId="0" xfId="3" applyFont="1" applyFill="1" applyAlignment="1">
      <alignment horizontal="left" vertical="top" wrapText="1" indent="1"/>
    </xf>
    <xf numFmtId="0" fontId="8" fillId="0" borderId="0" xfId="4" applyFont="1" applyFill="1" applyBorder="1" applyAlignment="1">
      <alignment horizontal="left" wrapText="1"/>
    </xf>
    <xf numFmtId="2" fontId="5" fillId="5" borderId="0" xfId="4" applyNumberFormat="1" applyFont="1" applyFill="1" applyBorder="1" applyAlignment="1">
      <alignment horizontal="center" vertical="center"/>
    </xf>
    <xf numFmtId="2" fontId="5" fillId="0" borderId="0" xfId="4" applyNumberFormat="1" applyFont="1" applyFill="1" applyBorder="1" applyAlignment="1">
      <alignment horizontal="center" vertical="center"/>
    </xf>
    <xf numFmtId="0" fontId="8" fillId="0" borderId="0" xfId="4" applyFont="1" applyFill="1" applyAlignment="1">
      <alignment horizontal="left" indent="1"/>
    </xf>
    <xf numFmtId="0" fontId="8" fillId="5" borderId="0" xfId="3" applyFont="1" applyFill="1" applyAlignment="1">
      <alignment horizontal="left" wrapText="1" indent="1"/>
    </xf>
    <xf numFmtId="0" fontId="12" fillId="5" borderId="0" xfId="4" applyFont="1" applyFill="1" applyAlignment="1">
      <alignment horizontal="left" vertical="top" wrapText="1" indent="1"/>
    </xf>
    <xf numFmtId="0" fontId="8" fillId="0" borderId="0" xfId="4" applyFont="1" applyFill="1" applyAlignment="1">
      <alignment horizontal="left" wrapText="1" indent="1"/>
    </xf>
    <xf numFmtId="0" fontId="12" fillId="0" borderId="0" xfId="4" applyFont="1" applyFill="1" applyBorder="1" applyAlignment="1">
      <alignment horizontal="left" vertical="top" wrapText="1" indent="1"/>
    </xf>
    <xf numFmtId="0" fontId="5" fillId="0" borderId="0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left" wrapText="1"/>
    </xf>
    <xf numFmtId="0" fontId="5" fillId="0" borderId="0" xfId="4" applyFont="1" applyFill="1" applyAlignment="1">
      <alignment horizontal="left" vertical="center" wrapText="1" indent="2"/>
    </xf>
    <xf numFmtId="0" fontId="5" fillId="5" borderId="0" xfId="4" applyFont="1" applyFill="1" applyAlignment="1">
      <alignment horizontal="left" vertical="center" wrapText="1" indent="2"/>
    </xf>
    <xf numFmtId="0" fontId="8" fillId="6" borderId="0" xfId="4" applyFont="1" applyFill="1" applyBorder="1" applyAlignment="1">
      <alignment horizontal="center" vertical="center" wrapText="1"/>
    </xf>
    <xf numFmtId="0" fontId="8" fillId="5" borderId="0" xfId="4" applyFont="1" applyFill="1" applyBorder="1" applyAlignment="1">
      <alignment horizontal="left" vertical="center" wrapText="1"/>
    </xf>
    <xf numFmtId="0" fontId="12" fillId="5" borderId="0" xfId="3" applyFont="1" applyFill="1" applyAlignment="1">
      <alignment horizontal="left" vertical="top" wrapText="1" indent="1"/>
    </xf>
    <xf numFmtId="0" fontId="8" fillId="6" borderId="0" xfId="4" applyFont="1" applyFill="1" applyBorder="1" applyAlignment="1">
      <alignment horizontal="center" wrapText="1"/>
    </xf>
    <xf numFmtId="174" fontId="5" fillId="5" borderId="0" xfId="4" applyNumberFormat="1" applyFont="1" applyFill="1" applyAlignment="1">
      <alignment horizontal="center" vertical="center"/>
    </xf>
    <xf numFmtId="174" fontId="5" fillId="0" borderId="0" xfId="4" applyNumberFormat="1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8" fillId="0" borderId="0" xfId="0" applyFont="1" applyFill="1" applyAlignment="1">
      <alignment horizontal="justify" wrapText="1"/>
    </xf>
    <xf numFmtId="0" fontId="8" fillId="5" borderId="0" xfId="15" applyFont="1" applyFill="1" applyBorder="1" applyAlignment="1">
      <alignment horizontal="left" vertical="center" wrapText="1"/>
    </xf>
    <xf numFmtId="0" fontId="8" fillId="5" borderId="0" xfId="15" applyFont="1" applyFill="1" applyBorder="1" applyAlignment="1">
      <alignment horizontal="left" vertical="center"/>
    </xf>
    <xf numFmtId="0" fontId="8" fillId="6" borderId="0" xfId="15" applyFont="1" applyFill="1" applyBorder="1" applyAlignment="1">
      <alignment horizontal="center" vertical="center" wrapText="1"/>
    </xf>
    <xf numFmtId="0" fontId="8" fillId="5" borderId="0" xfId="15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8" fillId="0" borderId="0" xfId="15" applyFont="1" applyFill="1" applyAlignment="1">
      <alignment horizontal="left" wrapText="1"/>
    </xf>
    <xf numFmtId="0" fontId="12" fillId="0" borderId="0" xfId="15" applyFont="1" applyFill="1" applyAlignment="1">
      <alignment horizontal="left" vertical="top" wrapText="1"/>
    </xf>
    <xf numFmtId="0" fontId="5" fillId="6" borderId="3" xfId="15" applyFont="1" applyFill="1" applyBorder="1" applyAlignment="1">
      <alignment horizontal="center"/>
    </xf>
    <xf numFmtId="0" fontId="5" fillId="6" borderId="0" xfId="15" applyFont="1" applyFill="1" applyBorder="1" applyAlignment="1">
      <alignment horizontal="center"/>
    </xf>
    <xf numFmtId="0" fontId="5" fillId="0" borderId="0" xfId="15" applyFont="1" applyFill="1" applyAlignment="1">
      <alignment horizontal="right" vertical="center" indent="1"/>
    </xf>
    <xf numFmtId="0" fontId="5" fillId="5" borderId="0" xfId="15" applyFont="1" applyFill="1" applyAlignment="1">
      <alignment horizontal="right" vertical="center" indent="1"/>
    </xf>
    <xf numFmtId="2" fontId="5" fillId="5" borderId="0" xfId="15" applyNumberFormat="1" applyFont="1" applyFill="1" applyAlignment="1">
      <alignment horizontal="right" vertical="center" indent="1"/>
    </xf>
    <xf numFmtId="0" fontId="12" fillId="0" borderId="0" xfId="15" applyFont="1" applyFill="1" applyAlignment="1">
      <alignment horizontal="left" vertical="top" wrapText="1" indent="1"/>
    </xf>
    <xf numFmtId="0" fontId="12" fillId="5" borderId="0" xfId="15" applyFont="1" applyFill="1" applyAlignment="1">
      <alignment horizontal="left" vertical="top" wrapText="1" indent="1"/>
    </xf>
    <xf numFmtId="0" fontId="8" fillId="0" borderId="0" xfId="15" applyFont="1" applyFill="1" applyAlignment="1">
      <alignment horizontal="left" wrapText="1" indent="1"/>
    </xf>
    <xf numFmtId="0" fontId="8" fillId="5" borderId="0" xfId="15" applyFont="1" applyFill="1" applyAlignment="1">
      <alignment horizontal="left" wrapText="1" indent="1"/>
    </xf>
    <xf numFmtId="0" fontId="8" fillId="6" borderId="0" xfId="15" applyFont="1" applyFill="1" applyBorder="1" applyAlignment="1">
      <alignment horizontal="center" vertical="center"/>
    </xf>
    <xf numFmtId="3" fontId="5" fillId="0" borderId="0" xfId="1" applyNumberFormat="1" applyFont="1" applyFill="1" applyAlignment="1">
      <alignment horizontal="right" vertical="center" indent="1"/>
    </xf>
    <xf numFmtId="3" fontId="5" fillId="5" borderId="0" xfId="1" applyNumberFormat="1" applyFont="1" applyFill="1" applyAlignment="1">
      <alignment horizontal="right" vertical="center" indent="1"/>
    </xf>
    <xf numFmtId="0" fontId="8" fillId="5" borderId="0" xfId="4" applyFont="1" applyFill="1" applyAlignment="1">
      <alignment horizontal="left" wrapText="1" indent="1"/>
    </xf>
    <xf numFmtId="0" fontId="8" fillId="0" borderId="0" xfId="3" applyFont="1" applyFill="1" applyAlignment="1">
      <alignment horizontal="left" wrapText="1" indent="1"/>
    </xf>
    <xf numFmtId="3" fontId="5" fillId="5" borderId="0" xfId="1" applyNumberFormat="1" applyFont="1" applyFill="1" applyAlignment="1">
      <alignment horizontal="right" vertical="center" wrapText="1" indent="1"/>
    </xf>
    <xf numFmtId="3" fontId="5" fillId="5" borderId="0" xfId="1" applyNumberFormat="1" applyFont="1" applyFill="1" applyAlignment="1">
      <alignment horizontal="right" vertical="center" indent="2"/>
    </xf>
    <xf numFmtId="3" fontId="5" fillId="0" borderId="0" xfId="1" applyNumberFormat="1" applyFont="1" applyFill="1" applyAlignment="1">
      <alignment horizontal="right" vertical="center" indent="2"/>
    </xf>
    <xf numFmtId="0" fontId="8" fillId="0" borderId="0" xfId="3" applyFont="1" applyFill="1" applyAlignment="1">
      <alignment horizontal="left" vertical="center" indent="1"/>
    </xf>
    <xf numFmtId="0" fontId="8" fillId="5" borderId="0" xfId="4" applyFont="1" applyFill="1" applyAlignment="1">
      <alignment horizontal="left" vertical="center" indent="1"/>
    </xf>
    <xf numFmtId="0" fontId="5" fillId="5" borderId="0" xfId="4" applyFont="1" applyFill="1" applyAlignment="1">
      <alignment horizontal="right" vertical="center" indent="1"/>
    </xf>
    <xf numFmtId="0" fontId="8" fillId="5" borderId="0" xfId="4" applyFont="1" applyFill="1" applyAlignment="1">
      <alignment horizontal="left" vertical="center" wrapText="1" indent="1"/>
    </xf>
    <xf numFmtId="0" fontId="8" fillId="0" borderId="0" xfId="4" applyFont="1" applyFill="1" applyAlignment="1">
      <alignment horizontal="left" vertical="center"/>
    </xf>
  </cellXfs>
  <cellStyles count="22">
    <cellStyle name="Comma" xfId="1" builtinId="3"/>
    <cellStyle name="Comma 2" xfId="5" xr:uid="{00000000-0005-0000-0000-000001000000}"/>
    <cellStyle name="Comma 2 2" xfId="6" xr:uid="{00000000-0005-0000-0000-000002000000}"/>
    <cellStyle name="Comma 2 3" xfId="18" xr:uid="{00000000-0005-0000-0000-000003000000}"/>
    <cellStyle name="Comma 2 4" xfId="7" xr:uid="{00000000-0005-0000-0000-000004000000}"/>
    <cellStyle name="Comma 3" xfId="8" xr:uid="{00000000-0005-0000-0000-000005000000}"/>
    <cellStyle name="Comma 3 2" xfId="19" xr:uid="{00000000-0005-0000-0000-000006000000}"/>
    <cellStyle name="Comma 4" xfId="20" xr:uid="{00000000-0005-0000-0000-000007000000}"/>
    <cellStyle name="Comma 5" xfId="17" xr:uid="{00000000-0005-0000-0000-000008000000}"/>
    <cellStyle name="Normal" xfId="0" builtinId="0"/>
    <cellStyle name="Normal 10" xfId="9" xr:uid="{00000000-0005-0000-0000-00000A000000}"/>
    <cellStyle name="Normal 2" xfId="3" xr:uid="{00000000-0005-0000-0000-00000B000000}"/>
    <cellStyle name="Normal 2 2" xfId="10" xr:uid="{00000000-0005-0000-0000-00000C000000}"/>
    <cellStyle name="Normal 2 2 2" xfId="11" xr:uid="{00000000-0005-0000-0000-00000D000000}"/>
    <cellStyle name="Normal 2 3" xfId="15" xr:uid="{00000000-0005-0000-0000-00000E000000}"/>
    <cellStyle name="Normal 26" xfId="16" xr:uid="{00000000-0005-0000-0000-00000F000000}"/>
    <cellStyle name="Normal 3" xfId="4" xr:uid="{00000000-0005-0000-0000-000010000000}"/>
    <cellStyle name="Normal 3 2" xfId="2" xr:uid="{00000000-0005-0000-0000-000011000000}"/>
    <cellStyle name="Normal 4" xfId="12" xr:uid="{00000000-0005-0000-0000-000012000000}"/>
    <cellStyle name="Normal 4 2" xfId="21" xr:uid="{00000000-0005-0000-0000-000013000000}"/>
    <cellStyle name="Normal 6" xfId="13" xr:uid="{00000000-0005-0000-0000-000014000000}"/>
    <cellStyle name="Percent 2" xfId="14" xr:uid="{00000000-0005-0000-0000-000015000000}"/>
  </cellStyles>
  <dxfs count="0"/>
  <tableStyles count="0" defaultTableStyle="TableStyleMedium9" defaultPivotStyle="PivotStyleLight16"/>
  <colors>
    <mruColors>
      <color rgb="FFFFD8F0"/>
      <color rgb="FFEE6EE8"/>
      <color rgb="FFFFCBCB"/>
      <color rgb="FFC24D52"/>
      <color rgb="FFFFEDED"/>
      <color rgb="FFE9C9E7"/>
      <color rgb="FFD08CCD"/>
      <color rgb="FF3E1B59"/>
      <color rgb="FF4C216D"/>
      <color rgb="FFD9A3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ANK%20DATA%202012\JADUAL%205-KESIHATAN%20(BPS)\4.4-4.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3\4-5%20kesihatan\Bab%204%20-%20Kesihatan%202013(TAB%204%201-4%2011)%20hantar%20DOS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4 (2)"/>
      <sheetName val="4.3 (2)"/>
      <sheetName val="4.6"/>
      <sheetName val="4.7"/>
      <sheetName val="4.8"/>
      <sheetName val="4.13"/>
      <sheetName val="4.14"/>
      <sheetName val="4.16"/>
      <sheetName val="4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9"/>
      <sheetName val="4.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EE6EE8"/>
  </sheetPr>
  <dimension ref="A1:Q24"/>
  <sheetViews>
    <sheetView tabSelected="1" view="pageBreakPreview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79.85546875" style="18" customWidth="1"/>
    <col min="4" max="4" width="12.7109375" style="18" customWidth="1"/>
    <col min="5" max="5" width="14.28515625" style="20" customWidth="1"/>
    <col min="6" max="6" width="16.42578125" style="20" customWidth="1"/>
    <col min="7" max="7" width="1.7109375" style="18" customWidth="1"/>
    <col min="8" max="8" width="16.42578125" style="20" customWidth="1"/>
    <col min="9" max="9" width="1.7109375" style="18" customWidth="1"/>
    <col min="10" max="10" width="16.42578125" style="20" customWidth="1"/>
    <col min="11" max="16384" width="12.42578125" style="18"/>
  </cols>
  <sheetData>
    <row r="1" spans="1:14" ht="18.75" customHeight="1" x14ac:dyDescent="0.3">
      <c r="A1" s="19" t="s">
        <v>81</v>
      </c>
      <c r="B1" s="19" t="s">
        <v>80</v>
      </c>
      <c r="C1" s="19" t="s">
        <v>175</v>
      </c>
      <c r="D1" s="19"/>
    </row>
    <row r="2" spans="1:14" s="425" customFormat="1" ht="18.75" customHeight="1" x14ac:dyDescent="0.25">
      <c r="A2" s="423" t="s">
        <v>82</v>
      </c>
      <c r="B2" s="423" t="s">
        <v>80</v>
      </c>
      <c r="C2" s="423" t="s">
        <v>176</v>
      </c>
      <c r="D2" s="423"/>
      <c r="E2" s="424"/>
      <c r="F2" s="424"/>
      <c r="H2" s="424"/>
      <c r="J2" s="424"/>
    </row>
    <row r="3" spans="1:14" s="21" customFormat="1" ht="11.25" customHeight="1" thickBot="1" x14ac:dyDescent="0.35">
      <c r="E3" s="22"/>
      <c r="F3" s="22"/>
      <c r="H3" s="22"/>
      <c r="J3" s="22"/>
    </row>
    <row r="4" spans="1:14" s="21" customFormat="1" ht="9" customHeight="1" x14ac:dyDescent="0.3">
      <c r="A4" s="23"/>
      <c r="B4" s="23"/>
      <c r="C4" s="23"/>
      <c r="D4" s="23"/>
      <c r="E4" s="24"/>
      <c r="F4" s="25"/>
      <c r="G4" s="26"/>
      <c r="H4" s="25"/>
      <c r="I4" s="26"/>
      <c r="J4" s="25"/>
    </row>
    <row r="5" spans="1:14" s="21" customFormat="1" ht="37.5" customHeight="1" x14ac:dyDescent="0.3">
      <c r="A5" s="27" t="s">
        <v>242</v>
      </c>
      <c r="B5" s="27"/>
      <c r="C5" s="27"/>
      <c r="D5" s="27"/>
      <c r="E5" s="28"/>
      <c r="F5" s="29">
        <v>2022</v>
      </c>
      <c r="G5" s="30"/>
      <c r="H5" s="29">
        <v>2023</v>
      </c>
      <c r="I5" s="30"/>
      <c r="J5" s="29">
        <v>2024</v>
      </c>
    </row>
    <row r="6" spans="1:14" s="21" customFormat="1" ht="9" customHeight="1" thickBot="1" x14ac:dyDescent="0.35">
      <c r="A6" s="31"/>
      <c r="B6" s="31"/>
      <c r="C6" s="31"/>
      <c r="D6" s="31"/>
      <c r="E6" s="31"/>
      <c r="F6" s="32"/>
      <c r="G6" s="33"/>
      <c r="H6" s="32"/>
      <c r="I6" s="33"/>
      <c r="J6" s="32"/>
    </row>
    <row r="7" spans="1:14" ht="18.75" customHeight="1" x14ac:dyDescent="0.3">
      <c r="A7" s="34"/>
      <c r="B7" s="34"/>
      <c r="C7" s="34"/>
      <c r="D7" s="34"/>
      <c r="E7" s="34"/>
      <c r="F7" s="35"/>
      <c r="G7" s="36"/>
      <c r="H7" s="35"/>
      <c r="I7" s="36"/>
      <c r="J7" s="35"/>
    </row>
    <row r="8" spans="1:14" s="39" customFormat="1" ht="30" customHeight="1" x14ac:dyDescent="0.3">
      <c r="A8" s="508" t="s">
        <v>122</v>
      </c>
      <c r="B8" s="508"/>
      <c r="C8" s="508"/>
      <c r="D8" s="508"/>
      <c r="E8" s="508"/>
      <c r="F8" s="507">
        <v>4.09</v>
      </c>
      <c r="G8" s="37"/>
      <c r="H8" s="507">
        <v>4</v>
      </c>
      <c r="I8" s="37"/>
      <c r="J8" s="507">
        <v>4.08</v>
      </c>
      <c r="K8" s="38"/>
    </row>
    <row r="9" spans="1:14" s="39" customFormat="1" ht="30" customHeight="1" x14ac:dyDescent="0.3">
      <c r="A9" s="504" t="s">
        <v>78</v>
      </c>
      <c r="B9" s="504"/>
      <c r="C9" s="504"/>
      <c r="D9" s="504"/>
      <c r="E9" s="40"/>
      <c r="F9" s="507"/>
      <c r="G9" s="37"/>
      <c r="H9" s="507"/>
      <c r="I9" s="37"/>
      <c r="J9" s="507"/>
      <c r="K9" s="41"/>
    </row>
    <row r="10" spans="1:14" s="39" customFormat="1" ht="18.75" customHeight="1" x14ac:dyDescent="0.3">
      <c r="A10" s="42"/>
      <c r="B10" s="42"/>
      <c r="C10" s="42"/>
      <c r="D10" s="42"/>
      <c r="E10" s="40"/>
      <c r="F10" s="43"/>
      <c r="G10" s="37"/>
      <c r="H10" s="43"/>
      <c r="I10" s="37"/>
      <c r="J10" s="43"/>
      <c r="K10" s="41"/>
    </row>
    <row r="11" spans="1:14" s="46" customFormat="1" ht="30" customHeight="1" x14ac:dyDescent="0.3">
      <c r="A11" s="509" t="s">
        <v>61</v>
      </c>
      <c r="B11" s="509"/>
      <c r="C11" s="509"/>
      <c r="D11" s="509"/>
      <c r="E11" s="509"/>
      <c r="F11" s="506" t="s">
        <v>72</v>
      </c>
      <c r="G11" s="44"/>
      <c r="H11" s="506" t="s">
        <v>72</v>
      </c>
      <c r="I11" s="44"/>
      <c r="J11" s="506" t="s">
        <v>72</v>
      </c>
      <c r="K11" s="45"/>
      <c r="M11" s="47"/>
      <c r="N11" s="47"/>
    </row>
    <row r="12" spans="1:14" s="46" customFormat="1" ht="30" customHeight="1" x14ac:dyDescent="0.3">
      <c r="A12" s="510" t="s">
        <v>79</v>
      </c>
      <c r="B12" s="510"/>
      <c r="C12" s="510"/>
      <c r="D12" s="510"/>
      <c r="E12" s="510"/>
      <c r="F12" s="506"/>
      <c r="G12" s="48"/>
      <c r="H12" s="506"/>
      <c r="I12" s="48"/>
      <c r="J12" s="506"/>
    </row>
    <row r="13" spans="1:14" s="39" customFormat="1" ht="18.75" customHeight="1" x14ac:dyDescent="0.3">
      <c r="A13" s="49"/>
      <c r="B13" s="49"/>
      <c r="C13" s="49"/>
      <c r="D13" s="49"/>
      <c r="E13" s="40"/>
      <c r="F13" s="43"/>
      <c r="G13" s="37"/>
      <c r="H13" s="43"/>
      <c r="I13" s="37"/>
      <c r="J13" s="43"/>
    </row>
    <row r="14" spans="1:14" s="39" customFormat="1" ht="30" customHeight="1" x14ac:dyDescent="0.3">
      <c r="A14" s="511" t="s">
        <v>62</v>
      </c>
      <c r="B14" s="511"/>
      <c r="C14" s="511"/>
      <c r="D14" s="511"/>
      <c r="E14" s="511"/>
      <c r="F14" s="513">
        <v>30.86</v>
      </c>
      <c r="G14" s="37"/>
      <c r="H14" s="513">
        <v>30.22</v>
      </c>
      <c r="I14" s="37"/>
      <c r="J14" s="513">
        <v>30.91</v>
      </c>
      <c r="K14" s="41"/>
    </row>
    <row r="15" spans="1:14" s="39" customFormat="1" ht="30" customHeight="1" x14ac:dyDescent="0.3">
      <c r="A15" s="512" t="s">
        <v>77</v>
      </c>
      <c r="B15" s="512"/>
      <c r="C15" s="512"/>
      <c r="D15" s="512"/>
      <c r="E15" s="512"/>
      <c r="F15" s="513"/>
      <c r="G15" s="34"/>
      <c r="H15" s="513"/>
      <c r="I15" s="34"/>
      <c r="J15" s="513"/>
      <c r="K15" s="41"/>
    </row>
    <row r="16" spans="1:14" ht="18.75" customHeight="1" thickBot="1" x14ac:dyDescent="0.35">
      <c r="A16" s="50"/>
      <c r="B16" s="50"/>
      <c r="C16" s="50"/>
      <c r="D16" s="50"/>
      <c r="E16" s="51"/>
      <c r="F16" s="51"/>
      <c r="G16" s="52"/>
      <c r="H16" s="51"/>
      <c r="I16" s="52"/>
      <c r="J16" s="51"/>
    </row>
    <row r="17" spans="1:17" ht="18.75" customHeight="1" x14ac:dyDescent="0.3">
      <c r="B17" s="53"/>
      <c r="C17" s="53"/>
      <c r="D17" s="54"/>
      <c r="E17" s="55"/>
      <c r="F17" s="55"/>
      <c r="G17" s="54"/>
      <c r="H17" s="55"/>
      <c r="I17" s="54"/>
      <c r="J17" s="55" t="s">
        <v>229</v>
      </c>
    </row>
    <row r="18" spans="1:17" s="16" customFormat="1" ht="18.75" customHeight="1" x14ac:dyDescent="0.3">
      <c r="B18" s="56"/>
      <c r="C18" s="57"/>
      <c r="D18" s="57"/>
      <c r="E18" s="58"/>
      <c r="F18" s="2"/>
      <c r="G18" s="59"/>
      <c r="H18" s="2"/>
      <c r="I18" s="59"/>
      <c r="J18" s="421" t="s">
        <v>125</v>
      </c>
      <c r="K18" s="60"/>
    </row>
    <row r="19" spans="1:17" s="16" customFormat="1" ht="18.75" customHeight="1" x14ac:dyDescent="0.3">
      <c r="A19" s="61"/>
      <c r="B19" s="7"/>
      <c r="C19" s="57"/>
      <c r="D19" s="57"/>
      <c r="E19" s="58"/>
      <c r="F19" s="55"/>
      <c r="G19" s="59"/>
      <c r="H19" s="55"/>
      <c r="I19" s="59"/>
      <c r="J19" s="55" t="s">
        <v>123</v>
      </c>
      <c r="K19" s="62"/>
    </row>
    <row r="20" spans="1:17" ht="18.75" customHeight="1" x14ac:dyDescent="0.3">
      <c r="B20" s="53"/>
      <c r="C20" s="53"/>
      <c r="D20" s="4"/>
      <c r="E20" s="2"/>
      <c r="F20" s="2"/>
      <c r="G20" s="4"/>
      <c r="H20" s="2"/>
      <c r="I20" s="4"/>
      <c r="J20" s="421" t="s">
        <v>126</v>
      </c>
    </row>
    <row r="21" spans="1:17" ht="18.75" customHeight="1" x14ac:dyDescent="0.3">
      <c r="A21" s="63" t="s">
        <v>278</v>
      </c>
      <c r="E21" s="18"/>
      <c r="F21" s="18"/>
      <c r="H21" s="18"/>
      <c r="J21" s="18"/>
      <c r="L21" s="64"/>
      <c r="M21" s="64"/>
      <c r="N21" s="64"/>
      <c r="O21" s="64"/>
      <c r="P21" s="64"/>
      <c r="Q21" s="64"/>
    </row>
    <row r="22" spans="1:17" ht="18.75" customHeight="1" x14ac:dyDescent="0.3">
      <c r="A22" s="505" t="s">
        <v>73</v>
      </c>
      <c r="B22" s="505"/>
      <c r="C22" s="505"/>
      <c r="D22" s="505"/>
      <c r="E22" s="505"/>
      <c r="F22" s="505"/>
      <c r="G22" s="505"/>
      <c r="H22" s="505"/>
      <c r="I22" s="505"/>
      <c r="J22" s="505"/>
      <c r="K22" s="514"/>
      <c r="L22" s="514"/>
      <c r="M22" s="514"/>
      <c r="N22" s="514"/>
      <c r="O22" s="514"/>
      <c r="P22" s="514"/>
      <c r="Q22" s="514"/>
    </row>
    <row r="23" spans="1:17" ht="16.5" customHeight="1" x14ac:dyDescent="0.3">
      <c r="A23" s="422" t="s">
        <v>153</v>
      </c>
      <c r="B23" s="3"/>
      <c r="C23" s="3"/>
      <c r="D23" s="65"/>
      <c r="E23" s="66"/>
      <c r="F23" s="66"/>
      <c r="G23" s="66"/>
      <c r="H23" s="66"/>
      <c r="I23" s="66"/>
      <c r="J23" s="66"/>
    </row>
    <row r="24" spans="1:17" ht="16.5" customHeight="1" x14ac:dyDescent="0.3">
      <c r="A24" s="1"/>
      <c r="C24" s="67"/>
      <c r="D24" s="69"/>
    </row>
  </sheetData>
  <mergeCells count="17">
    <mergeCell ref="K22:Q22"/>
    <mergeCell ref="A9:D9"/>
    <mergeCell ref="A22:J22"/>
    <mergeCell ref="J11:J12"/>
    <mergeCell ref="J8:J9"/>
    <mergeCell ref="H11:H12"/>
    <mergeCell ref="H8:H9"/>
    <mergeCell ref="F11:F12"/>
    <mergeCell ref="F8:F9"/>
    <mergeCell ref="A8:E8"/>
    <mergeCell ref="A11:E11"/>
    <mergeCell ref="A12:E12"/>
    <mergeCell ref="A14:E14"/>
    <mergeCell ref="A15:E15"/>
    <mergeCell ref="J14:J15"/>
    <mergeCell ref="H14:H15"/>
    <mergeCell ref="F14:F15"/>
  </mergeCells>
  <printOptions horizontalCentered="1"/>
  <pageMargins left="0.27559055118110237" right="0.27559055118110237" top="0.9055118110236221" bottom="0" header="0" footer="0"/>
  <pageSetup paperSize="9" scale="56" fitToWidth="0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tabColor rgb="FFEE6EE8"/>
  </sheetPr>
  <dimension ref="A1:AJ43"/>
  <sheetViews>
    <sheetView tabSelected="1" view="pageBreakPreview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3.28515625" style="16" customWidth="1"/>
    <col min="19" max="21" width="12.42578125" style="16"/>
    <col min="22" max="22" width="6.5703125" style="16" customWidth="1"/>
    <col min="23" max="16384" width="12.42578125" style="16"/>
  </cols>
  <sheetData>
    <row r="1" spans="1:36" s="71" customFormat="1" ht="18.75" customHeight="1" x14ac:dyDescent="0.3">
      <c r="A1" s="118" t="s">
        <v>99</v>
      </c>
      <c r="B1" s="118" t="s">
        <v>80</v>
      </c>
      <c r="C1" s="524" t="s">
        <v>191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36" s="427" customFormat="1" ht="18.75" customHeight="1" x14ac:dyDescent="0.3">
      <c r="A2" s="426" t="s">
        <v>100</v>
      </c>
      <c r="B2" s="426" t="s">
        <v>80</v>
      </c>
      <c r="C2" s="426" t="s">
        <v>192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36" s="57" customFormat="1" ht="11.25" customHeight="1" thickBot="1" x14ac:dyDescent="0.35">
      <c r="I3" s="119"/>
      <c r="J3" s="120"/>
      <c r="M3" s="119"/>
      <c r="N3" s="120"/>
    </row>
    <row r="4" spans="1:36" s="1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6" s="1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36" s="1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36" s="1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6" s="295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6" s="1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6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36" ht="30" customHeight="1" x14ac:dyDescent="0.3">
      <c r="A11" s="134" t="s">
        <v>0</v>
      </c>
      <c r="B11" s="134"/>
      <c r="C11" s="135"/>
      <c r="D11" s="296">
        <v>93.48</v>
      </c>
      <c r="E11" s="296">
        <v>94.91</v>
      </c>
      <c r="F11" s="296">
        <v>92.14</v>
      </c>
      <c r="G11" s="310"/>
      <c r="H11" s="296">
        <v>93.629242516910395</v>
      </c>
      <c r="I11" s="296">
        <v>94.949494084082289</v>
      </c>
      <c r="J11" s="296">
        <v>92.392614503602388</v>
      </c>
      <c r="K11" s="310"/>
      <c r="L11" s="296">
        <v>94.862426780017444</v>
      </c>
      <c r="M11" s="296">
        <v>95.674836261237161</v>
      </c>
      <c r="N11" s="296">
        <v>94.100275165031832</v>
      </c>
      <c r="O11" s="298"/>
      <c r="P11" s="298"/>
      <c r="Q11" s="298"/>
      <c r="R11" s="298"/>
      <c r="V11" s="298"/>
      <c r="W11" s="298"/>
      <c r="X11" s="298"/>
      <c r="Y11" s="298"/>
      <c r="Z11" s="298"/>
      <c r="AA11" s="298"/>
      <c r="AB11" s="298"/>
      <c r="AD11" s="298"/>
      <c r="AE11" s="298"/>
      <c r="AF11" s="298"/>
      <c r="AG11" s="298"/>
      <c r="AH11" s="298">
        <f>W11-L11</f>
        <v>-94.862426780017444</v>
      </c>
      <c r="AI11" s="298">
        <f>X11-M11</f>
        <v>-95.674836261237161</v>
      </c>
      <c r="AJ11" s="298">
        <f>Y11-N11</f>
        <v>-94.100275165031832</v>
      </c>
    </row>
    <row r="12" spans="1:36" ht="18.75" customHeight="1" x14ac:dyDescent="0.3">
      <c r="A12" s="320"/>
      <c r="B12" s="320"/>
      <c r="C12" s="135"/>
      <c r="D12" s="299"/>
      <c r="E12" s="299"/>
      <c r="F12" s="299"/>
      <c r="G12" s="311"/>
      <c r="H12" s="299"/>
      <c r="I12" s="299"/>
      <c r="J12" s="299"/>
      <c r="K12" s="311"/>
      <c r="L12" s="299"/>
      <c r="M12" s="299"/>
      <c r="N12" s="299"/>
      <c r="O12" s="298"/>
      <c r="P12" s="298"/>
      <c r="Q12" s="298"/>
      <c r="R12" s="298"/>
    </row>
    <row r="13" spans="1:36" s="146" customFormat="1" ht="30" customHeight="1" x14ac:dyDescent="0.3">
      <c r="A13" s="141" t="s">
        <v>1</v>
      </c>
      <c r="B13" s="142"/>
      <c r="C13" s="143"/>
      <c r="D13" s="301">
        <v>96.38</v>
      </c>
      <c r="E13" s="301">
        <v>97.62</v>
      </c>
      <c r="F13" s="301">
        <v>95.22</v>
      </c>
      <c r="G13" s="314"/>
      <c r="H13" s="301">
        <v>96.243634400177868</v>
      </c>
      <c r="I13" s="301">
        <v>97.764418148267467</v>
      </c>
      <c r="J13" s="301">
        <v>94.82884294424197</v>
      </c>
      <c r="K13" s="314"/>
      <c r="L13" s="301">
        <v>97.870726705806348</v>
      </c>
      <c r="M13" s="301">
        <v>98.643959522046543</v>
      </c>
      <c r="N13" s="301">
        <v>97.146315918334039</v>
      </c>
      <c r="O13" s="303"/>
      <c r="P13" s="303"/>
      <c r="Q13" s="303"/>
      <c r="R13" s="303"/>
      <c r="V13" s="303"/>
      <c r="W13" s="303"/>
      <c r="X13" s="303"/>
      <c r="Y13" s="303"/>
      <c r="Z13" s="303"/>
      <c r="AA13" s="303"/>
      <c r="AB13" s="303"/>
      <c r="AD13" s="303"/>
      <c r="AE13" s="303"/>
      <c r="AF13" s="303"/>
      <c r="AG13" s="303"/>
      <c r="AH13" s="303">
        <f t="shared" ref="AH13:AJ27" si="0">W13-L13</f>
        <v>-97.870726705806348</v>
      </c>
      <c r="AI13" s="303">
        <f t="shared" si="0"/>
        <v>-98.643959522046543</v>
      </c>
      <c r="AJ13" s="303">
        <f t="shared" si="0"/>
        <v>-97.146315918334039</v>
      </c>
    </row>
    <row r="14" spans="1:36" ht="30" customHeight="1" x14ac:dyDescent="0.3">
      <c r="A14" s="148" t="s">
        <v>2</v>
      </c>
      <c r="B14" s="149"/>
      <c r="C14" s="135"/>
      <c r="D14" s="299">
        <v>94.27</v>
      </c>
      <c r="E14" s="299">
        <v>96.15</v>
      </c>
      <c r="F14" s="299">
        <v>92.48</v>
      </c>
      <c r="G14" s="315"/>
      <c r="H14" s="299">
        <v>93.436613673141494</v>
      </c>
      <c r="I14" s="299">
        <v>95.486754215111063</v>
      </c>
      <c r="J14" s="299">
        <v>91.502862810513506</v>
      </c>
      <c r="K14" s="315"/>
      <c r="L14" s="299">
        <v>94.31851397589395</v>
      </c>
      <c r="M14" s="299">
        <v>95.916297065207132</v>
      </c>
      <c r="N14" s="299">
        <v>92.808490240014279</v>
      </c>
      <c r="O14" s="298"/>
      <c r="P14" s="298"/>
      <c r="Q14" s="298"/>
      <c r="R14" s="298"/>
      <c r="V14" s="298"/>
      <c r="W14" s="298"/>
      <c r="X14" s="298"/>
      <c r="Y14" s="298"/>
      <c r="Z14" s="298"/>
      <c r="AA14" s="298"/>
      <c r="AB14" s="298"/>
      <c r="AD14" s="298"/>
      <c r="AE14" s="298"/>
      <c r="AF14" s="298"/>
      <c r="AG14" s="298"/>
      <c r="AH14" s="298">
        <f t="shared" si="0"/>
        <v>-94.31851397589395</v>
      </c>
      <c r="AI14" s="298">
        <f t="shared" si="0"/>
        <v>-95.916297065207132</v>
      </c>
      <c r="AJ14" s="298">
        <f t="shared" si="0"/>
        <v>-92.808490240014279</v>
      </c>
    </row>
    <row r="15" spans="1:36" s="146" customFormat="1" ht="30" customHeight="1" x14ac:dyDescent="0.3">
      <c r="A15" s="141" t="s">
        <v>3</v>
      </c>
      <c r="B15" s="150"/>
      <c r="C15" s="143"/>
      <c r="D15" s="301">
        <v>85.73</v>
      </c>
      <c r="E15" s="301">
        <v>87.99</v>
      </c>
      <c r="F15" s="301">
        <v>83.6</v>
      </c>
      <c r="G15" s="314"/>
      <c r="H15" s="301">
        <v>84.882569491367448</v>
      </c>
      <c r="I15" s="301">
        <v>87.122286593427717</v>
      </c>
      <c r="J15" s="301">
        <v>82.776509414769777</v>
      </c>
      <c r="K15" s="314"/>
      <c r="L15" s="301">
        <v>85.054900018783826</v>
      </c>
      <c r="M15" s="301">
        <v>86.916085146308561</v>
      </c>
      <c r="N15" s="301">
        <v>83.299785440952022</v>
      </c>
      <c r="O15" s="303"/>
      <c r="P15" s="303"/>
      <c r="Q15" s="303"/>
      <c r="R15" s="303"/>
      <c r="V15" s="303"/>
      <c r="W15" s="303"/>
      <c r="X15" s="303"/>
      <c r="Y15" s="303"/>
      <c r="Z15" s="303"/>
      <c r="AA15" s="303"/>
      <c r="AB15" s="303"/>
      <c r="AD15" s="303"/>
      <c r="AE15" s="303"/>
      <c r="AF15" s="303"/>
      <c r="AG15" s="303"/>
      <c r="AH15" s="303">
        <f t="shared" si="0"/>
        <v>-85.054900018783826</v>
      </c>
      <c r="AI15" s="303">
        <f t="shared" si="0"/>
        <v>-86.916085146308561</v>
      </c>
      <c r="AJ15" s="303">
        <f t="shared" si="0"/>
        <v>-83.299785440952022</v>
      </c>
    </row>
    <row r="16" spans="1:36" ht="30" customHeight="1" x14ac:dyDescent="0.3">
      <c r="A16" s="148" t="s">
        <v>4</v>
      </c>
      <c r="B16" s="149"/>
      <c r="C16" s="135"/>
      <c r="D16" s="299">
        <v>105.25</v>
      </c>
      <c r="E16" s="299">
        <v>105.56</v>
      </c>
      <c r="F16" s="299">
        <v>104.95</v>
      </c>
      <c r="G16" s="315"/>
      <c r="H16" s="299">
        <v>106.59146610646818</v>
      </c>
      <c r="I16" s="299">
        <v>106.39774859287054</v>
      </c>
      <c r="J16" s="299">
        <v>106.77523656966568</v>
      </c>
      <c r="K16" s="315"/>
      <c r="L16" s="299">
        <v>111.16040648700501</v>
      </c>
      <c r="M16" s="299">
        <v>109.80871610746566</v>
      </c>
      <c r="N16" s="299">
        <v>112.42952630049403</v>
      </c>
      <c r="O16" s="298"/>
      <c r="P16" s="298"/>
      <c r="Q16" s="298"/>
      <c r="R16" s="298"/>
      <c r="V16" s="298"/>
      <c r="W16" s="298"/>
      <c r="X16" s="298"/>
      <c r="Y16" s="298"/>
      <c r="Z16" s="298"/>
      <c r="AA16" s="298"/>
      <c r="AB16" s="298"/>
      <c r="AD16" s="298"/>
      <c r="AE16" s="298"/>
      <c r="AF16" s="298"/>
      <c r="AG16" s="298"/>
      <c r="AH16" s="298">
        <f t="shared" si="0"/>
        <v>-111.16040648700501</v>
      </c>
      <c r="AI16" s="298">
        <f t="shared" si="0"/>
        <v>-109.80871610746566</v>
      </c>
      <c r="AJ16" s="298">
        <f t="shared" si="0"/>
        <v>-112.42952630049403</v>
      </c>
    </row>
    <row r="17" spans="1:36" s="146" customFormat="1" ht="30" customHeight="1" x14ac:dyDescent="0.3">
      <c r="A17" s="141" t="s">
        <v>5</v>
      </c>
      <c r="B17" s="150"/>
      <c r="C17" s="143"/>
      <c r="D17" s="301">
        <v>110.79</v>
      </c>
      <c r="E17" s="301">
        <v>111.29</v>
      </c>
      <c r="F17" s="301">
        <v>110.32</v>
      </c>
      <c r="G17" s="314"/>
      <c r="H17" s="301">
        <v>110.69797704956821</v>
      </c>
      <c r="I17" s="301">
        <v>111.05567993770077</v>
      </c>
      <c r="J17" s="301">
        <v>110.35959298310236</v>
      </c>
      <c r="K17" s="314"/>
      <c r="L17" s="301">
        <v>112.15859442536389</v>
      </c>
      <c r="M17" s="301">
        <v>111.82490188052299</v>
      </c>
      <c r="N17" s="301">
        <v>112.47305484332099</v>
      </c>
      <c r="O17" s="303"/>
      <c r="P17" s="303"/>
      <c r="Q17" s="303"/>
      <c r="R17" s="303"/>
      <c r="V17" s="303"/>
      <c r="W17" s="303"/>
      <c r="X17" s="303"/>
      <c r="Y17" s="303"/>
      <c r="Z17" s="303"/>
      <c r="AA17" s="303"/>
      <c r="AB17" s="303"/>
      <c r="AD17" s="303"/>
      <c r="AE17" s="303"/>
      <c r="AF17" s="303"/>
      <c r="AG17" s="303"/>
      <c r="AH17" s="303">
        <f t="shared" si="0"/>
        <v>-112.15859442536389</v>
      </c>
      <c r="AI17" s="303">
        <f t="shared" si="0"/>
        <v>-111.82490188052299</v>
      </c>
      <c r="AJ17" s="303">
        <f t="shared" si="0"/>
        <v>-112.47305484332099</v>
      </c>
    </row>
    <row r="18" spans="1:36" ht="30" customHeight="1" x14ac:dyDescent="0.3">
      <c r="A18" s="148" t="s">
        <v>6</v>
      </c>
      <c r="B18" s="149"/>
      <c r="C18" s="135"/>
      <c r="D18" s="299">
        <v>94.79</v>
      </c>
      <c r="E18" s="299">
        <v>96.01</v>
      </c>
      <c r="F18" s="299">
        <v>93.65</v>
      </c>
      <c r="G18" s="315"/>
      <c r="H18" s="299">
        <v>93.671580990874162</v>
      </c>
      <c r="I18" s="299">
        <v>95.549049279557863</v>
      </c>
      <c r="J18" s="299">
        <v>91.912591884853057</v>
      </c>
      <c r="K18" s="315"/>
      <c r="L18" s="299">
        <v>97.466602008572409</v>
      </c>
      <c r="M18" s="299">
        <v>98.362856911752814</v>
      </c>
      <c r="N18" s="299">
        <v>96.627648136650663</v>
      </c>
      <c r="O18" s="298"/>
      <c r="P18" s="298"/>
      <c r="Q18" s="298"/>
      <c r="R18" s="298"/>
      <c r="V18" s="298"/>
      <c r="W18" s="298"/>
      <c r="X18" s="298"/>
      <c r="Y18" s="298"/>
      <c r="Z18" s="298"/>
      <c r="AA18" s="298"/>
      <c r="AB18" s="298"/>
      <c r="AD18" s="298"/>
      <c r="AE18" s="298"/>
      <c r="AF18" s="298"/>
      <c r="AG18" s="298"/>
      <c r="AH18" s="298">
        <f t="shared" si="0"/>
        <v>-97.466602008572409</v>
      </c>
      <c r="AI18" s="298">
        <f t="shared" si="0"/>
        <v>-98.362856911752814</v>
      </c>
      <c r="AJ18" s="298">
        <f t="shared" si="0"/>
        <v>-96.627648136650663</v>
      </c>
    </row>
    <row r="19" spans="1:36" s="146" customFormat="1" ht="30" customHeight="1" x14ac:dyDescent="0.3">
      <c r="A19" s="141" t="s">
        <v>7</v>
      </c>
      <c r="B19" s="150"/>
      <c r="C19" s="143"/>
      <c r="D19" s="301">
        <v>97.59</v>
      </c>
      <c r="E19" s="301">
        <v>97.73</v>
      </c>
      <c r="F19" s="301">
        <v>97.47</v>
      </c>
      <c r="G19" s="314"/>
      <c r="H19" s="301">
        <v>96.90398389279467</v>
      </c>
      <c r="I19" s="301">
        <v>97.613722796780451</v>
      </c>
      <c r="J19" s="301">
        <v>96.236725545653442</v>
      </c>
      <c r="K19" s="314"/>
      <c r="L19" s="301">
        <v>98.512976513469809</v>
      </c>
      <c r="M19" s="301">
        <v>98.547774158523353</v>
      </c>
      <c r="N19" s="301">
        <v>98.480256091205902</v>
      </c>
      <c r="O19" s="303"/>
      <c r="P19" s="303"/>
      <c r="Q19" s="303"/>
      <c r="R19" s="303"/>
      <c r="V19" s="303"/>
      <c r="W19" s="303"/>
      <c r="X19" s="303"/>
      <c r="Y19" s="303"/>
      <c r="Z19" s="303"/>
      <c r="AA19" s="303"/>
      <c r="AB19" s="303"/>
      <c r="AD19" s="303"/>
      <c r="AE19" s="303"/>
      <c r="AF19" s="303"/>
      <c r="AG19" s="303"/>
      <c r="AH19" s="303">
        <f t="shared" si="0"/>
        <v>-98.512976513469809</v>
      </c>
      <c r="AI19" s="303">
        <f t="shared" si="0"/>
        <v>-98.547774158523353</v>
      </c>
      <c r="AJ19" s="303">
        <f t="shared" si="0"/>
        <v>-98.480256091205902</v>
      </c>
    </row>
    <row r="20" spans="1:36" ht="30" customHeight="1" x14ac:dyDescent="0.3">
      <c r="A20" s="148" t="s">
        <v>8</v>
      </c>
      <c r="B20" s="149"/>
      <c r="C20" s="135"/>
      <c r="D20" s="299">
        <v>113.99</v>
      </c>
      <c r="E20" s="299">
        <v>114.7</v>
      </c>
      <c r="F20" s="299">
        <v>113.32</v>
      </c>
      <c r="G20" s="315"/>
      <c r="H20" s="299">
        <v>108.3718617946806</v>
      </c>
      <c r="I20" s="299">
        <v>108.45505040115202</v>
      </c>
      <c r="J20" s="299">
        <v>108.29404406812277</v>
      </c>
      <c r="K20" s="315"/>
      <c r="L20" s="299">
        <v>111.42857142857143</v>
      </c>
      <c r="M20" s="299">
        <v>110.56122448979593</v>
      </c>
      <c r="N20" s="299">
        <v>112.23273415326396</v>
      </c>
      <c r="O20" s="298"/>
      <c r="P20" s="298"/>
      <c r="Q20" s="298"/>
      <c r="R20" s="298"/>
      <c r="V20" s="298"/>
      <c r="W20" s="298"/>
      <c r="X20" s="298"/>
      <c r="Y20" s="298"/>
      <c r="Z20" s="298"/>
      <c r="AA20" s="298"/>
      <c r="AB20" s="298"/>
      <c r="AD20" s="298"/>
      <c r="AE20" s="298"/>
      <c r="AF20" s="298"/>
      <c r="AG20" s="298"/>
      <c r="AH20" s="298">
        <f t="shared" si="0"/>
        <v>-111.42857142857143</v>
      </c>
      <c r="AI20" s="298">
        <f t="shared" si="0"/>
        <v>-110.56122448979593</v>
      </c>
      <c r="AJ20" s="298">
        <f t="shared" si="0"/>
        <v>-112.23273415326396</v>
      </c>
    </row>
    <row r="21" spans="1:36" s="146" customFormat="1" ht="30" customHeight="1" x14ac:dyDescent="0.3">
      <c r="A21" s="141" t="s">
        <v>9</v>
      </c>
      <c r="B21" s="150"/>
      <c r="C21" s="143"/>
      <c r="D21" s="301">
        <v>99.73</v>
      </c>
      <c r="E21" s="301">
        <v>101.17</v>
      </c>
      <c r="F21" s="301">
        <v>98.39</v>
      </c>
      <c r="G21" s="314"/>
      <c r="H21" s="301">
        <v>98.969034773541281</v>
      </c>
      <c r="I21" s="301">
        <v>100.4967448161668</v>
      </c>
      <c r="J21" s="301">
        <v>97.548084495703463</v>
      </c>
      <c r="K21" s="314"/>
      <c r="L21" s="301">
        <v>102.88710114797071</v>
      </c>
      <c r="M21" s="301">
        <v>102.43303989511145</v>
      </c>
      <c r="N21" s="301">
        <v>103.31062194269742</v>
      </c>
      <c r="O21" s="303"/>
      <c r="P21" s="303"/>
      <c r="Q21" s="303"/>
      <c r="R21" s="303"/>
      <c r="V21" s="303"/>
      <c r="W21" s="303"/>
      <c r="X21" s="303"/>
      <c r="Y21" s="303"/>
      <c r="Z21" s="303"/>
      <c r="AA21" s="303"/>
      <c r="AB21" s="303"/>
      <c r="AD21" s="303"/>
      <c r="AE21" s="303"/>
      <c r="AF21" s="303"/>
      <c r="AG21" s="303"/>
      <c r="AH21" s="303">
        <f t="shared" si="0"/>
        <v>-102.88710114797071</v>
      </c>
      <c r="AI21" s="303">
        <f t="shared" si="0"/>
        <v>-102.43303989511145</v>
      </c>
      <c r="AJ21" s="303">
        <f t="shared" si="0"/>
        <v>-103.31062194269742</v>
      </c>
    </row>
    <row r="22" spans="1:36" ht="30" customHeight="1" x14ac:dyDescent="0.3">
      <c r="A22" s="148" t="s">
        <v>10</v>
      </c>
      <c r="B22" s="149"/>
      <c r="C22" s="135"/>
      <c r="D22" s="299">
        <v>89.93</v>
      </c>
      <c r="E22" s="299">
        <v>91.63</v>
      </c>
      <c r="F22" s="299">
        <v>88.35</v>
      </c>
      <c r="G22" s="315"/>
      <c r="H22" s="299">
        <v>87.821887764341326</v>
      </c>
      <c r="I22" s="299">
        <v>89.651313316908173</v>
      </c>
      <c r="J22" s="299">
        <v>86.120689655172413</v>
      </c>
      <c r="K22" s="315"/>
      <c r="L22" s="299">
        <v>90.728935052011266</v>
      </c>
      <c r="M22" s="299">
        <v>92.228989430265528</v>
      </c>
      <c r="N22" s="299">
        <v>89.330248490129506</v>
      </c>
      <c r="O22" s="298"/>
      <c r="P22" s="298"/>
      <c r="Q22" s="298"/>
      <c r="R22" s="298"/>
      <c r="V22" s="298"/>
      <c r="W22" s="298"/>
      <c r="X22" s="298"/>
      <c r="Y22" s="298"/>
      <c r="Z22" s="298"/>
      <c r="AA22" s="298"/>
      <c r="AB22" s="298"/>
      <c r="AD22" s="298"/>
      <c r="AE22" s="298"/>
      <c r="AF22" s="298"/>
      <c r="AG22" s="298"/>
      <c r="AH22" s="298">
        <f t="shared" si="0"/>
        <v>-90.728935052011266</v>
      </c>
      <c r="AI22" s="298">
        <f t="shared" si="0"/>
        <v>-92.228989430265528</v>
      </c>
      <c r="AJ22" s="298">
        <f t="shared" si="0"/>
        <v>-89.330248490129506</v>
      </c>
    </row>
    <row r="23" spans="1:36" s="146" customFormat="1" ht="30" customHeight="1" x14ac:dyDescent="0.3">
      <c r="A23" s="141" t="s">
        <v>11</v>
      </c>
      <c r="B23" s="150"/>
      <c r="C23" s="143"/>
      <c r="D23" s="301">
        <v>95.25</v>
      </c>
      <c r="E23" s="301">
        <v>96.53</v>
      </c>
      <c r="F23" s="301">
        <v>94.07</v>
      </c>
      <c r="G23" s="314"/>
      <c r="H23" s="301">
        <v>93.54016390347067</v>
      </c>
      <c r="I23" s="301">
        <v>94.98030531658469</v>
      </c>
      <c r="J23" s="301">
        <v>92.201249840581553</v>
      </c>
      <c r="K23" s="314"/>
      <c r="L23" s="301">
        <v>94.143102676994801</v>
      </c>
      <c r="M23" s="301">
        <v>95.212174422007607</v>
      </c>
      <c r="N23" s="301">
        <v>93.145509990441937</v>
      </c>
      <c r="O23" s="303"/>
      <c r="P23" s="303"/>
      <c r="Q23" s="303"/>
      <c r="R23" s="303"/>
      <c r="V23" s="303"/>
      <c r="W23" s="303"/>
      <c r="X23" s="303"/>
      <c r="Y23" s="303"/>
      <c r="Z23" s="303"/>
      <c r="AA23" s="303"/>
      <c r="AB23" s="303"/>
      <c r="AD23" s="303"/>
      <c r="AE23" s="303"/>
      <c r="AF23" s="303"/>
      <c r="AG23" s="303"/>
      <c r="AH23" s="303">
        <f t="shared" si="0"/>
        <v>-94.143102676994801</v>
      </c>
      <c r="AI23" s="303">
        <f t="shared" si="0"/>
        <v>-95.212174422007607</v>
      </c>
      <c r="AJ23" s="303">
        <f t="shared" si="0"/>
        <v>-93.145509990441937</v>
      </c>
    </row>
    <row r="24" spans="1:36" ht="30" customHeight="1" x14ac:dyDescent="0.3">
      <c r="A24" s="148" t="s">
        <v>12</v>
      </c>
      <c r="B24" s="149"/>
      <c r="C24" s="135"/>
      <c r="D24" s="299">
        <v>84.53</v>
      </c>
      <c r="E24" s="299">
        <v>86.36</v>
      </c>
      <c r="F24" s="299">
        <v>82.82</v>
      </c>
      <c r="G24" s="315"/>
      <c r="H24" s="299">
        <v>88.889365675835279</v>
      </c>
      <c r="I24" s="299">
        <v>89.679015264082125</v>
      </c>
      <c r="J24" s="299">
        <v>88.148488460974846</v>
      </c>
      <c r="K24" s="315"/>
      <c r="L24" s="299">
        <v>88.445443506708543</v>
      </c>
      <c r="M24" s="299">
        <v>89.045725646123259</v>
      </c>
      <c r="N24" s="299">
        <v>87.881077081832515</v>
      </c>
      <c r="O24" s="298"/>
      <c r="P24" s="298"/>
      <c r="Q24" s="298"/>
      <c r="R24" s="298"/>
      <c r="V24" s="298"/>
      <c r="W24" s="298"/>
      <c r="X24" s="298"/>
      <c r="Y24" s="298"/>
      <c r="Z24" s="298"/>
      <c r="AA24" s="298"/>
      <c r="AB24" s="298"/>
      <c r="AD24" s="298"/>
      <c r="AE24" s="298"/>
      <c r="AF24" s="298"/>
      <c r="AG24" s="298"/>
      <c r="AH24" s="298">
        <f t="shared" si="0"/>
        <v>-88.445443506708543</v>
      </c>
      <c r="AI24" s="298">
        <f t="shared" si="0"/>
        <v>-89.045725646123259</v>
      </c>
      <c r="AJ24" s="298">
        <f t="shared" si="0"/>
        <v>-87.881077081832515</v>
      </c>
    </row>
    <row r="25" spans="1:36" s="146" customFormat="1" ht="30" customHeight="1" x14ac:dyDescent="0.3">
      <c r="A25" s="141" t="s">
        <v>13</v>
      </c>
      <c r="B25" s="150"/>
      <c r="C25" s="143"/>
      <c r="D25" s="301">
        <v>94.94</v>
      </c>
      <c r="E25" s="301">
        <v>96.79</v>
      </c>
      <c r="F25" s="301">
        <v>93.18</v>
      </c>
      <c r="G25" s="314"/>
      <c r="H25" s="301">
        <v>95.142016085227183</v>
      </c>
      <c r="I25" s="301">
        <v>96.677968547107199</v>
      </c>
      <c r="J25" s="301">
        <v>93.691007598732412</v>
      </c>
      <c r="K25" s="314"/>
      <c r="L25" s="301">
        <v>94.145345160573584</v>
      </c>
      <c r="M25" s="301">
        <v>96.139248327360676</v>
      </c>
      <c r="N25" s="301">
        <v>92.274436401583543</v>
      </c>
      <c r="O25" s="303"/>
      <c r="P25" s="303"/>
      <c r="Q25" s="303"/>
      <c r="R25" s="303"/>
      <c r="V25" s="303"/>
      <c r="W25" s="303"/>
      <c r="X25" s="303"/>
      <c r="Y25" s="303"/>
      <c r="Z25" s="303"/>
      <c r="AA25" s="303"/>
      <c r="AB25" s="303"/>
      <c r="AD25" s="303"/>
      <c r="AE25" s="303"/>
      <c r="AF25" s="303"/>
      <c r="AG25" s="303"/>
      <c r="AH25" s="303">
        <f t="shared" si="0"/>
        <v>-94.145345160573584</v>
      </c>
      <c r="AI25" s="303">
        <f t="shared" si="0"/>
        <v>-96.139248327360676</v>
      </c>
      <c r="AJ25" s="303">
        <f t="shared" si="0"/>
        <v>-92.274436401583543</v>
      </c>
    </row>
    <row r="26" spans="1:36" ht="30" customHeight="1" x14ac:dyDescent="0.3">
      <c r="A26" s="148" t="s">
        <v>232</v>
      </c>
      <c r="B26" s="149"/>
      <c r="C26" s="135"/>
      <c r="D26" s="299">
        <v>99.81</v>
      </c>
      <c r="E26" s="299">
        <v>101.06</v>
      </c>
      <c r="F26" s="299">
        <v>98.63</v>
      </c>
      <c r="G26" s="315"/>
      <c r="H26" s="299">
        <v>98.833976711305979</v>
      </c>
      <c r="I26" s="299">
        <v>99.799661723894445</v>
      </c>
      <c r="J26" s="299">
        <v>97.929262626728814</v>
      </c>
      <c r="K26" s="315"/>
      <c r="L26" s="299">
        <v>88.494820980212992</v>
      </c>
      <c r="M26" s="299">
        <v>89.620622413875111</v>
      </c>
      <c r="N26" s="299">
        <v>87.437462775461583</v>
      </c>
      <c r="O26" s="298"/>
      <c r="P26" s="298"/>
      <c r="Q26" s="298"/>
      <c r="R26" s="298"/>
      <c r="V26" s="298"/>
      <c r="W26" s="298"/>
      <c r="X26" s="298"/>
      <c r="Y26" s="298"/>
      <c r="Z26" s="298"/>
      <c r="AA26" s="298"/>
      <c r="AB26" s="298"/>
      <c r="AD26" s="298"/>
      <c r="AE26" s="298"/>
      <c r="AF26" s="298"/>
      <c r="AG26" s="298"/>
      <c r="AH26" s="298">
        <f t="shared" si="0"/>
        <v>-88.494820980212992</v>
      </c>
      <c r="AI26" s="298">
        <f t="shared" si="0"/>
        <v>-89.620622413875111</v>
      </c>
      <c r="AJ26" s="298">
        <f t="shared" si="0"/>
        <v>-87.437462775461583</v>
      </c>
    </row>
    <row r="27" spans="1:36" s="146" customFormat="1" ht="30" customHeight="1" x14ac:dyDescent="0.3">
      <c r="A27" s="141" t="s">
        <v>15</v>
      </c>
      <c r="B27" s="150"/>
      <c r="C27" s="143"/>
      <c r="D27" s="301">
        <v>88.14</v>
      </c>
      <c r="E27" s="301">
        <v>89.15</v>
      </c>
      <c r="F27" s="301">
        <v>87.18</v>
      </c>
      <c r="G27" s="314"/>
      <c r="H27" s="301">
        <v>89.548515839361443</v>
      </c>
      <c r="I27" s="301">
        <v>91.143151390319261</v>
      </c>
      <c r="J27" s="301">
        <v>88.050314465408803</v>
      </c>
      <c r="K27" s="314"/>
      <c r="L27" s="301">
        <v>94.810281517747867</v>
      </c>
      <c r="M27" s="301">
        <v>95.002536783358707</v>
      </c>
      <c r="N27" s="301">
        <v>94.63103122043519</v>
      </c>
      <c r="O27" s="303"/>
      <c r="P27" s="303"/>
      <c r="Q27" s="303"/>
      <c r="R27" s="303"/>
      <c r="V27" s="303"/>
      <c r="W27" s="303"/>
      <c r="X27" s="303"/>
      <c r="Y27" s="303"/>
      <c r="Z27" s="303"/>
      <c r="AA27" s="303"/>
      <c r="AB27" s="303"/>
      <c r="AD27" s="303"/>
      <c r="AE27" s="303"/>
      <c r="AF27" s="303"/>
      <c r="AG27" s="303"/>
      <c r="AH27" s="303">
        <f t="shared" si="0"/>
        <v>-94.810281517747867</v>
      </c>
      <c r="AI27" s="303">
        <f t="shared" si="0"/>
        <v>-95.002536783358707</v>
      </c>
      <c r="AJ27" s="303">
        <f t="shared" si="0"/>
        <v>-94.63103122043519</v>
      </c>
    </row>
    <row r="28" spans="1:36" ht="18.75" customHeight="1" thickBot="1" x14ac:dyDescent="0.35">
      <c r="A28" s="152"/>
      <c r="B28" s="152"/>
      <c r="C28" s="153"/>
      <c r="D28" s="52"/>
      <c r="E28" s="321"/>
      <c r="F28" s="322"/>
      <c r="G28" s="323"/>
      <c r="H28" s="52"/>
      <c r="I28" s="324"/>
      <c r="J28" s="325"/>
      <c r="K28" s="323"/>
      <c r="L28" s="52"/>
      <c r="M28" s="324"/>
      <c r="N28" s="325"/>
      <c r="O28" s="298"/>
      <c r="P28" s="298"/>
      <c r="Q28" s="298"/>
      <c r="R28" s="298"/>
    </row>
    <row r="29" spans="1:36" ht="18.75" customHeight="1" x14ac:dyDescent="0.3">
      <c r="A29" s="257"/>
      <c r="B29" s="56"/>
      <c r="C29" s="57"/>
      <c r="D29" s="58"/>
      <c r="E29" s="57"/>
      <c r="F29" s="58"/>
      <c r="G29" s="59"/>
      <c r="H29" s="58"/>
      <c r="I29" s="156"/>
      <c r="J29" s="55"/>
      <c r="K29" s="59"/>
      <c r="L29" s="58"/>
      <c r="M29" s="156"/>
      <c r="N29" s="55" t="s">
        <v>21</v>
      </c>
      <c r="O29" s="326"/>
      <c r="P29" s="326"/>
      <c r="Q29" s="326"/>
      <c r="R29" s="326"/>
      <c r="S29" s="54"/>
    </row>
    <row r="30" spans="1:36" ht="18.75" customHeight="1" x14ac:dyDescent="0.3">
      <c r="B30" s="7"/>
      <c r="C30" s="57"/>
      <c r="D30" s="58"/>
      <c r="E30" s="57"/>
      <c r="F30" s="58"/>
      <c r="G30" s="59"/>
      <c r="H30" s="58"/>
      <c r="I30" s="156"/>
      <c r="J30" s="2"/>
      <c r="K30" s="59"/>
      <c r="L30" s="58"/>
      <c r="M30" s="156"/>
      <c r="N30" s="421" t="s">
        <v>22</v>
      </c>
      <c r="O30" s="326"/>
      <c r="P30" s="326"/>
      <c r="Q30" s="326"/>
      <c r="R30" s="326"/>
      <c r="S30" s="4"/>
    </row>
    <row r="31" spans="1:36" ht="18.75" customHeight="1" x14ac:dyDescent="0.3">
      <c r="A31" s="63" t="s">
        <v>278</v>
      </c>
      <c r="O31" s="326"/>
      <c r="P31" s="326"/>
      <c r="Q31" s="326"/>
      <c r="R31" s="326"/>
    </row>
    <row r="32" spans="1:36" ht="18.75" customHeight="1" x14ac:dyDescent="0.3">
      <c r="A32" s="56" t="s">
        <v>234</v>
      </c>
      <c r="O32" s="326"/>
      <c r="P32" s="326"/>
      <c r="Q32" s="326"/>
      <c r="R32" s="326"/>
    </row>
    <row r="33" spans="1:18" ht="18.75" customHeight="1" x14ac:dyDescent="0.3">
      <c r="A33" s="437" t="s">
        <v>75</v>
      </c>
      <c r="O33" s="326"/>
      <c r="P33" s="326"/>
      <c r="Q33" s="326"/>
      <c r="R33" s="326"/>
    </row>
    <row r="34" spans="1:18" x14ac:dyDescent="0.3">
      <c r="O34" s="326"/>
      <c r="P34" s="326"/>
      <c r="Q34" s="326"/>
      <c r="R34" s="326"/>
    </row>
    <row r="35" spans="1:18" x14ac:dyDescent="0.3">
      <c r="O35" s="326"/>
      <c r="P35" s="326"/>
      <c r="Q35" s="326"/>
      <c r="R35" s="326"/>
    </row>
    <row r="36" spans="1:18" x14ac:dyDescent="0.3">
      <c r="O36" s="326"/>
      <c r="P36" s="326"/>
      <c r="Q36" s="326"/>
      <c r="R36" s="326"/>
    </row>
    <row r="37" spans="1:18" x14ac:dyDescent="0.3">
      <c r="O37" s="326"/>
      <c r="P37" s="326"/>
      <c r="Q37" s="326"/>
      <c r="R37" s="326"/>
    </row>
    <row r="38" spans="1:18" x14ac:dyDescent="0.3">
      <c r="O38" s="326"/>
      <c r="P38" s="326"/>
      <c r="Q38" s="326"/>
      <c r="R38" s="326"/>
    </row>
    <row r="39" spans="1:18" x14ac:dyDescent="0.3">
      <c r="O39" s="326"/>
      <c r="P39" s="326"/>
      <c r="Q39" s="326"/>
      <c r="R39" s="326"/>
    </row>
    <row r="40" spans="1:18" x14ac:dyDescent="0.3">
      <c r="O40" s="326"/>
      <c r="P40" s="326"/>
      <c r="Q40" s="326"/>
      <c r="R40" s="326"/>
    </row>
    <row r="41" spans="1:18" x14ac:dyDescent="0.3">
      <c r="O41" s="326"/>
      <c r="P41" s="326"/>
      <c r="Q41" s="326"/>
      <c r="R41" s="326"/>
    </row>
    <row r="42" spans="1:18" x14ac:dyDescent="0.3">
      <c r="O42" s="326"/>
      <c r="P42" s="326"/>
      <c r="Q42" s="326"/>
      <c r="R42" s="326"/>
    </row>
    <row r="43" spans="1:18" x14ac:dyDescent="0.3">
      <c r="O43" s="326"/>
      <c r="P43" s="326"/>
      <c r="Q43" s="326"/>
      <c r="R43" s="326"/>
    </row>
  </sheetData>
  <mergeCells count="8">
    <mergeCell ref="A5:A8"/>
    <mergeCell ref="C1:N1"/>
    <mergeCell ref="L5:N5"/>
    <mergeCell ref="D5:F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tabColor rgb="FFEE6EE8"/>
  </sheetPr>
  <dimension ref="A1:AB36"/>
  <sheetViews>
    <sheetView tabSelected="1" view="pageBreakPreview" topLeftCell="A7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5" width="15.28515625" style="16" bestFit="1" customWidth="1"/>
    <col min="16" max="16" width="4.140625" style="16" customWidth="1"/>
    <col min="17" max="17" width="8" style="16" customWidth="1"/>
    <col min="18" max="18" width="2.7109375" style="16" customWidth="1"/>
    <col min="19" max="19" width="8.85546875" style="16" customWidth="1"/>
    <col min="20" max="20" width="3" style="16" customWidth="1"/>
    <col min="21" max="21" width="12.42578125" style="16"/>
    <col min="22" max="28" width="5.7109375" style="16" customWidth="1"/>
    <col min="29" max="16384" width="12.42578125" style="16"/>
  </cols>
  <sheetData>
    <row r="1" spans="1:28" s="5" customFormat="1" ht="18.75" customHeight="1" x14ac:dyDescent="0.3">
      <c r="A1" s="70" t="s">
        <v>101</v>
      </c>
      <c r="B1" s="70" t="s">
        <v>80</v>
      </c>
      <c r="C1" s="70" t="s">
        <v>193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28" s="427" customFormat="1" ht="18.75" customHeight="1" x14ac:dyDescent="0.3">
      <c r="A2" s="426" t="s">
        <v>102</v>
      </c>
      <c r="B2" s="426" t="s">
        <v>80</v>
      </c>
      <c r="C2" s="426" t="s">
        <v>194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28" s="57" customFormat="1" ht="11.25" customHeight="1" thickBot="1" x14ac:dyDescent="0.35">
      <c r="I3" s="119"/>
      <c r="J3" s="120"/>
      <c r="M3" s="119"/>
      <c r="N3" s="120"/>
    </row>
    <row r="4" spans="1:28" s="57" customFormat="1" ht="9" customHeight="1" x14ac:dyDescent="0.3">
      <c r="A4" s="121"/>
      <c r="B4" s="121"/>
      <c r="C4" s="121"/>
      <c r="D4" s="122"/>
      <c r="E4" s="122"/>
      <c r="F4" s="122"/>
      <c r="G4" s="534"/>
      <c r="H4" s="122"/>
      <c r="I4" s="123"/>
      <c r="J4" s="124"/>
      <c r="K4" s="534"/>
      <c r="L4" s="122"/>
      <c r="M4" s="123"/>
      <c r="N4" s="124"/>
    </row>
    <row r="5" spans="1:28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535"/>
      <c r="H5" s="527">
        <v>2023</v>
      </c>
      <c r="I5" s="527"/>
      <c r="J5" s="527"/>
      <c r="K5" s="535"/>
      <c r="L5" s="527">
        <v>2024</v>
      </c>
      <c r="M5" s="527"/>
      <c r="N5" s="527"/>
    </row>
    <row r="6" spans="1:28" s="57" customFormat="1" ht="9" customHeight="1" x14ac:dyDescent="0.3">
      <c r="A6" s="525"/>
      <c r="B6" s="125"/>
      <c r="C6" s="126"/>
      <c r="D6" s="450"/>
      <c r="E6" s="527"/>
      <c r="F6" s="527"/>
      <c r="G6" s="535"/>
      <c r="H6" s="450"/>
      <c r="I6" s="527"/>
      <c r="J6" s="527"/>
      <c r="K6" s="535"/>
      <c r="L6" s="450"/>
      <c r="M6" s="527"/>
      <c r="N6" s="527"/>
    </row>
    <row r="7" spans="1:28" s="57" customFormat="1" ht="9" customHeight="1" x14ac:dyDescent="0.3">
      <c r="A7" s="525"/>
      <c r="B7" s="125"/>
      <c r="C7" s="126"/>
      <c r="D7" s="126"/>
      <c r="E7" s="76"/>
      <c r="F7" s="76"/>
      <c r="G7" s="128"/>
      <c r="H7" s="126"/>
      <c r="I7" s="76"/>
      <c r="J7" s="76"/>
      <c r="K7" s="128"/>
      <c r="L7" s="126"/>
      <c r="M7" s="76"/>
      <c r="N7" s="76"/>
    </row>
    <row r="8" spans="1:28" s="253" customFormat="1" ht="37.5" customHeight="1" x14ac:dyDescent="0.3">
      <c r="A8" s="526"/>
      <c r="B8" s="129"/>
      <c r="C8" s="126"/>
      <c r="D8" s="448" t="s">
        <v>253</v>
      </c>
      <c r="E8" s="76" t="s">
        <v>254</v>
      </c>
      <c r="F8" s="76" t="s">
        <v>255</v>
      </c>
      <c r="G8" s="77"/>
      <c r="H8" s="448" t="s">
        <v>253</v>
      </c>
      <c r="I8" s="76" t="s">
        <v>254</v>
      </c>
      <c r="J8" s="76" t="s">
        <v>255</v>
      </c>
      <c r="K8" s="77"/>
      <c r="L8" s="448" t="s">
        <v>253</v>
      </c>
      <c r="M8" s="76" t="s">
        <v>254</v>
      </c>
      <c r="N8" s="76" t="s">
        <v>255</v>
      </c>
    </row>
    <row r="9" spans="1:28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28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28" ht="30" customHeight="1" x14ac:dyDescent="0.3">
      <c r="A11" s="134" t="s">
        <v>0</v>
      </c>
      <c r="B11" s="134"/>
      <c r="C11" s="135"/>
      <c r="D11" s="452">
        <v>40.825958501714943</v>
      </c>
      <c r="E11" s="296">
        <v>49.48</v>
      </c>
      <c r="F11" s="296">
        <v>33.22</v>
      </c>
      <c r="G11" s="296"/>
      <c r="H11" s="452">
        <v>41.658031779943919</v>
      </c>
      <c r="I11" s="296">
        <v>50.74</v>
      </c>
      <c r="J11" s="296">
        <v>33.78</v>
      </c>
      <c r="K11" s="296"/>
      <c r="L11" s="452">
        <v>45.969374167776301</v>
      </c>
      <c r="M11" s="296">
        <v>56.434076639965355</v>
      </c>
      <c r="N11" s="296">
        <v>37.008774640054376</v>
      </c>
      <c r="O11" s="15"/>
      <c r="P11" s="15"/>
      <c r="Q11" s="449"/>
      <c r="R11" s="298"/>
      <c r="T11" s="298"/>
      <c r="V11" s="298"/>
      <c r="W11" s="298"/>
      <c r="X11" s="298"/>
      <c r="Y11" s="298"/>
      <c r="Z11" s="298"/>
      <c r="AB11" s="298"/>
    </row>
    <row r="12" spans="1:28" ht="18.75" customHeight="1" x14ac:dyDescent="0.3">
      <c r="A12" s="133"/>
      <c r="B12" s="133"/>
      <c r="C12" s="57"/>
      <c r="D12" s="57"/>
      <c r="E12" s="299"/>
      <c r="F12" s="299"/>
      <c r="G12" s="300"/>
      <c r="H12" s="300"/>
      <c r="I12" s="299"/>
      <c r="J12" s="299"/>
      <c r="K12" s="300"/>
      <c r="L12" s="300"/>
      <c r="M12" s="299"/>
      <c r="N12" s="299"/>
      <c r="O12" s="15"/>
      <c r="P12" s="15"/>
      <c r="Q12" s="15"/>
    </row>
    <row r="13" spans="1:28" s="146" customFormat="1" ht="30" customHeight="1" x14ac:dyDescent="0.3">
      <c r="A13" s="141" t="s">
        <v>1</v>
      </c>
      <c r="B13" s="142"/>
      <c r="C13" s="143"/>
      <c r="D13" s="451">
        <v>22.462033807351759</v>
      </c>
      <c r="E13" s="502">
        <v>24.62</v>
      </c>
      <c r="F13" s="502">
        <v>20.68</v>
      </c>
      <c r="G13" s="301"/>
      <c r="H13" s="451">
        <v>22.722251867662756</v>
      </c>
      <c r="I13" s="502">
        <v>25.29</v>
      </c>
      <c r="J13" s="502">
        <v>20.6</v>
      </c>
      <c r="K13" s="301"/>
      <c r="L13" s="451">
        <v>23.87322433663897</v>
      </c>
      <c r="M13" s="301">
        <v>27.387978142076502</v>
      </c>
      <c r="N13" s="301">
        <v>21.095489443378117</v>
      </c>
      <c r="O13" s="319"/>
      <c r="P13" s="319"/>
      <c r="Q13" s="319"/>
      <c r="R13" s="303"/>
      <c r="T13" s="303"/>
      <c r="V13" s="303"/>
      <c r="W13" s="303"/>
      <c r="X13" s="303"/>
      <c r="Y13" s="303"/>
      <c r="Z13" s="303"/>
      <c r="AB13" s="303"/>
    </row>
    <row r="14" spans="1:28" ht="30" customHeight="1" x14ac:dyDescent="0.3">
      <c r="A14" s="148" t="s">
        <v>2</v>
      </c>
      <c r="B14" s="149"/>
      <c r="C14" s="135"/>
      <c r="D14" s="327">
        <v>30.100755667506295</v>
      </c>
      <c r="E14" s="299">
        <v>38.71</v>
      </c>
      <c r="F14" s="299">
        <v>22.55</v>
      </c>
      <c r="G14" s="299"/>
      <c r="H14" s="327">
        <v>30.534126163391935</v>
      </c>
      <c r="I14" s="299">
        <v>39.25</v>
      </c>
      <c r="J14" s="299">
        <v>22.84</v>
      </c>
      <c r="K14" s="299"/>
      <c r="L14" s="327">
        <v>32.008465608465606</v>
      </c>
      <c r="M14" s="299">
        <v>41.787330316742086</v>
      </c>
      <c r="N14" s="299">
        <v>23.415506958250496</v>
      </c>
      <c r="O14" s="15"/>
      <c r="P14" s="15"/>
      <c r="Q14" s="15"/>
      <c r="R14" s="298"/>
      <c r="T14" s="298"/>
      <c r="V14" s="298"/>
      <c r="W14" s="298"/>
      <c r="X14" s="298"/>
      <c r="Y14" s="298"/>
      <c r="Z14" s="298"/>
      <c r="AB14" s="298"/>
    </row>
    <row r="15" spans="1:28" s="146" customFormat="1" ht="30" customHeight="1" x14ac:dyDescent="0.3">
      <c r="A15" s="141" t="s">
        <v>3</v>
      </c>
      <c r="B15" s="150"/>
      <c r="C15" s="143"/>
      <c r="D15" s="451">
        <v>17.778315585672797</v>
      </c>
      <c r="E15" s="502">
        <v>23.86</v>
      </c>
      <c r="F15" s="502">
        <v>11.65</v>
      </c>
      <c r="G15" s="301"/>
      <c r="H15" s="451">
        <v>19.048053820278714</v>
      </c>
      <c r="I15" s="502">
        <v>25.91</v>
      </c>
      <c r="J15" s="502">
        <v>12.33</v>
      </c>
      <c r="K15" s="301"/>
      <c r="L15" s="451">
        <v>21.286991062562066</v>
      </c>
      <c r="M15" s="301">
        <v>29.478172588832486</v>
      </c>
      <c r="N15" s="301">
        <v>13.459143968871595</v>
      </c>
      <c r="O15" s="319"/>
      <c r="P15" s="319"/>
      <c r="Q15" s="319"/>
      <c r="R15" s="303"/>
      <c r="T15" s="303"/>
      <c r="V15" s="303"/>
      <c r="W15" s="303"/>
      <c r="X15" s="303"/>
      <c r="Y15" s="303"/>
      <c r="Z15" s="303"/>
      <c r="AB15" s="303"/>
    </row>
    <row r="16" spans="1:28" ht="30" customHeight="1" x14ac:dyDescent="0.3">
      <c r="A16" s="148" t="s">
        <v>4</v>
      </c>
      <c r="B16" s="149"/>
      <c r="C16" s="135"/>
      <c r="D16" s="327">
        <v>47.076225045372048</v>
      </c>
      <c r="E16" s="299">
        <v>52.64</v>
      </c>
      <c r="F16" s="299">
        <v>42.28</v>
      </c>
      <c r="G16" s="299"/>
      <c r="H16" s="327">
        <v>50.264509990485251</v>
      </c>
      <c r="I16" s="299">
        <v>54.78</v>
      </c>
      <c r="J16" s="299">
        <v>46.28</v>
      </c>
      <c r="K16" s="299"/>
      <c r="L16" s="327">
        <v>59.513540621865602</v>
      </c>
      <c r="M16" s="299">
        <v>65.399150743099781</v>
      </c>
      <c r="N16" s="299">
        <v>54.243346007604565</v>
      </c>
      <c r="O16" s="15"/>
      <c r="P16" s="15"/>
      <c r="Q16" s="15"/>
      <c r="R16" s="298"/>
      <c r="T16" s="298"/>
      <c r="V16" s="298"/>
      <c r="W16" s="298"/>
      <c r="X16" s="298"/>
      <c r="Y16" s="298"/>
      <c r="Z16" s="298"/>
      <c r="AB16" s="298"/>
    </row>
    <row r="17" spans="1:28" s="146" customFormat="1" ht="30" customHeight="1" x14ac:dyDescent="0.3">
      <c r="A17" s="141" t="s">
        <v>5</v>
      </c>
      <c r="B17" s="150"/>
      <c r="C17" s="143"/>
      <c r="D17" s="451">
        <v>44.557765151515149</v>
      </c>
      <c r="E17" s="502">
        <v>55.97</v>
      </c>
      <c r="F17" s="502">
        <v>34.200000000000003</v>
      </c>
      <c r="G17" s="301"/>
      <c r="H17" s="451">
        <v>46.560344827586206</v>
      </c>
      <c r="I17" s="502">
        <v>59.36</v>
      </c>
      <c r="J17" s="502">
        <v>35.28</v>
      </c>
      <c r="K17" s="301"/>
      <c r="L17" s="451">
        <v>51.613437195715676</v>
      </c>
      <c r="M17" s="301">
        <v>66.439746300211425</v>
      </c>
      <c r="N17" s="301">
        <v>38.954873646209386</v>
      </c>
      <c r="O17" s="319"/>
      <c r="P17" s="319"/>
      <c r="Q17" s="319"/>
      <c r="R17" s="303"/>
      <c r="T17" s="303"/>
      <c r="V17" s="303"/>
      <c r="W17" s="303"/>
      <c r="X17" s="303"/>
      <c r="Y17" s="303"/>
      <c r="Z17" s="303"/>
      <c r="AB17" s="303"/>
    </row>
    <row r="18" spans="1:28" ht="30" customHeight="1" x14ac:dyDescent="0.3">
      <c r="A18" s="148" t="s">
        <v>6</v>
      </c>
      <c r="B18" s="149"/>
      <c r="C18" s="135"/>
      <c r="D18" s="327">
        <v>30.985195154777927</v>
      </c>
      <c r="E18" s="299">
        <v>36.96</v>
      </c>
      <c r="F18" s="299">
        <v>25.7</v>
      </c>
      <c r="G18" s="299"/>
      <c r="H18" s="327">
        <v>29.266914959652389</v>
      </c>
      <c r="I18" s="299">
        <v>35.5</v>
      </c>
      <c r="J18" s="299">
        <v>24.32</v>
      </c>
      <c r="K18" s="299"/>
      <c r="L18" s="327">
        <v>30.500607533414335</v>
      </c>
      <c r="M18" s="299">
        <v>37.396551724137936</v>
      </c>
      <c r="N18" s="299">
        <v>24.699214365881033</v>
      </c>
      <c r="O18" s="15"/>
      <c r="P18" s="15"/>
      <c r="Q18" s="15"/>
      <c r="R18" s="298"/>
      <c r="T18" s="298"/>
      <c r="V18" s="298"/>
      <c r="W18" s="298"/>
      <c r="X18" s="298"/>
      <c r="Y18" s="298"/>
      <c r="Z18" s="298"/>
      <c r="AB18" s="298"/>
    </row>
    <row r="19" spans="1:28" s="146" customFormat="1" ht="30" customHeight="1" x14ac:dyDescent="0.3">
      <c r="A19" s="141" t="s">
        <v>7</v>
      </c>
      <c r="B19" s="150"/>
      <c r="C19" s="143"/>
      <c r="D19" s="451">
        <v>36.954699407281964</v>
      </c>
      <c r="E19" s="502">
        <v>45.95</v>
      </c>
      <c r="F19" s="502">
        <v>29.01</v>
      </c>
      <c r="G19" s="301"/>
      <c r="H19" s="451">
        <v>37.095813552006909</v>
      </c>
      <c r="I19" s="502">
        <v>45.69</v>
      </c>
      <c r="J19" s="502">
        <v>29.53</v>
      </c>
      <c r="K19" s="301"/>
      <c r="L19" s="451">
        <v>39.667104111985999</v>
      </c>
      <c r="M19" s="301">
        <v>48.596391263057932</v>
      </c>
      <c r="N19" s="301">
        <v>32.041362530413622</v>
      </c>
      <c r="O19" s="319"/>
      <c r="P19" s="319"/>
      <c r="Q19" s="319"/>
      <c r="R19" s="303"/>
      <c r="T19" s="303"/>
      <c r="V19" s="303"/>
      <c r="W19" s="303"/>
      <c r="X19" s="303"/>
      <c r="Y19" s="303"/>
      <c r="Z19" s="303"/>
      <c r="AB19" s="303"/>
    </row>
    <row r="20" spans="1:28" ht="30" customHeight="1" x14ac:dyDescent="0.3">
      <c r="A20" s="148" t="s">
        <v>8</v>
      </c>
      <c r="B20" s="149"/>
      <c r="C20" s="135"/>
      <c r="D20" s="327">
        <v>72.030812324929968</v>
      </c>
      <c r="E20" s="299">
        <v>76.86</v>
      </c>
      <c r="F20" s="299">
        <v>67.81</v>
      </c>
      <c r="G20" s="299"/>
      <c r="H20" s="327">
        <v>65.816489361702125</v>
      </c>
      <c r="I20" s="299">
        <v>71.239999999999995</v>
      </c>
      <c r="J20" s="299">
        <v>60.89</v>
      </c>
      <c r="K20" s="299"/>
      <c r="L20" s="327">
        <v>72.697222222222223</v>
      </c>
      <c r="M20" s="299">
        <v>78.777777777777786</v>
      </c>
      <c r="N20" s="299">
        <v>67.195767195767203</v>
      </c>
      <c r="O20" s="15"/>
      <c r="P20" s="15"/>
      <c r="Q20" s="15"/>
      <c r="R20" s="298"/>
      <c r="T20" s="298"/>
      <c r="V20" s="298"/>
      <c r="W20" s="298"/>
      <c r="X20" s="298"/>
      <c r="Y20" s="298"/>
      <c r="Z20" s="298"/>
      <c r="AB20" s="298"/>
    </row>
    <row r="21" spans="1:28" s="146" customFormat="1" ht="30" customHeight="1" x14ac:dyDescent="0.3">
      <c r="A21" s="141" t="s">
        <v>9</v>
      </c>
      <c r="B21" s="150"/>
      <c r="C21" s="143"/>
      <c r="D21" s="451">
        <v>44.241184767277858</v>
      </c>
      <c r="E21" s="502">
        <v>50.54</v>
      </c>
      <c r="F21" s="502">
        <v>38.26</v>
      </c>
      <c r="G21" s="301"/>
      <c r="H21" s="451">
        <v>43.79467414155571</v>
      </c>
      <c r="I21" s="502">
        <v>50.06</v>
      </c>
      <c r="J21" s="502">
        <v>37.799999999999997</v>
      </c>
      <c r="K21" s="301"/>
      <c r="L21" s="451">
        <v>45.457662701189641</v>
      </c>
      <c r="M21" s="301">
        <v>52.480519480519483</v>
      </c>
      <c r="N21" s="301">
        <v>38.845108695652172</v>
      </c>
      <c r="O21" s="319"/>
      <c r="P21" s="319"/>
      <c r="Q21" s="319"/>
      <c r="R21" s="303"/>
      <c r="T21" s="303"/>
      <c r="V21" s="303"/>
      <c r="W21" s="303"/>
      <c r="X21" s="303"/>
      <c r="Y21" s="303"/>
      <c r="Z21" s="303"/>
      <c r="AB21" s="303"/>
    </row>
    <row r="22" spans="1:28" ht="30" customHeight="1" x14ac:dyDescent="0.3">
      <c r="A22" s="148" t="s">
        <v>10</v>
      </c>
      <c r="B22" s="149"/>
      <c r="C22" s="135"/>
      <c r="D22" s="327">
        <v>11.145510835913312</v>
      </c>
      <c r="E22" s="299">
        <v>14.82</v>
      </c>
      <c r="F22" s="299">
        <v>7.97</v>
      </c>
      <c r="G22" s="299"/>
      <c r="H22" s="327">
        <v>10.505122143420015</v>
      </c>
      <c r="I22" s="299">
        <v>14.08</v>
      </c>
      <c r="J22" s="299">
        <v>7.45</v>
      </c>
      <c r="K22" s="299"/>
      <c r="L22" s="327">
        <v>11.215696075981004</v>
      </c>
      <c r="M22" s="299">
        <v>14.899730458221025</v>
      </c>
      <c r="N22" s="299">
        <v>8.0312208760484616</v>
      </c>
      <c r="O22" s="15"/>
      <c r="P22" s="15"/>
      <c r="Q22" s="15"/>
      <c r="R22" s="298"/>
      <c r="T22" s="298"/>
      <c r="V22" s="298"/>
      <c r="W22" s="298"/>
      <c r="X22" s="298"/>
      <c r="Y22" s="298"/>
      <c r="Z22" s="298"/>
      <c r="AB22" s="298"/>
    </row>
    <row r="23" spans="1:28" s="146" customFormat="1" ht="30" customHeight="1" x14ac:dyDescent="0.3">
      <c r="A23" s="141" t="s">
        <v>11</v>
      </c>
      <c r="B23" s="150"/>
      <c r="C23" s="143"/>
      <c r="D23" s="451">
        <v>22.669429097605892</v>
      </c>
      <c r="E23" s="502">
        <v>27.42</v>
      </c>
      <c r="F23" s="502">
        <v>18.27</v>
      </c>
      <c r="G23" s="301"/>
      <c r="H23" s="451">
        <v>23.327498848456933</v>
      </c>
      <c r="I23" s="502">
        <v>28.23</v>
      </c>
      <c r="J23" s="502">
        <v>18.649999999999999</v>
      </c>
      <c r="K23" s="301"/>
      <c r="L23" s="451">
        <v>26.827618164967564</v>
      </c>
      <c r="M23" s="301">
        <v>33.1328125</v>
      </c>
      <c r="N23" s="301">
        <v>21.134038800705468</v>
      </c>
      <c r="O23" s="319"/>
      <c r="P23" s="319"/>
      <c r="Q23" s="319"/>
      <c r="R23" s="303"/>
      <c r="T23" s="303"/>
      <c r="V23" s="303"/>
      <c r="W23" s="303"/>
      <c r="X23" s="303"/>
      <c r="Y23" s="303"/>
      <c r="Z23" s="303"/>
      <c r="AB23" s="303"/>
    </row>
    <row r="24" spans="1:28" ht="30" customHeight="1" x14ac:dyDescent="0.3">
      <c r="A24" s="148" t="s">
        <v>12</v>
      </c>
      <c r="B24" s="149"/>
      <c r="C24" s="135"/>
      <c r="D24" s="327">
        <v>71.340394973070019</v>
      </c>
      <c r="E24" s="299">
        <v>90.45</v>
      </c>
      <c r="F24" s="299">
        <v>55.65</v>
      </c>
      <c r="G24" s="299"/>
      <c r="H24" s="327">
        <v>74.96671314046705</v>
      </c>
      <c r="I24" s="299">
        <v>95.78</v>
      </c>
      <c r="J24" s="299">
        <v>58.18</v>
      </c>
      <c r="K24" s="299"/>
      <c r="L24" s="327">
        <v>85.548175056218639</v>
      </c>
      <c r="M24" s="299">
        <v>109.9816835541699</v>
      </c>
      <c r="N24" s="299">
        <v>66.046967340590982</v>
      </c>
      <c r="O24" s="15"/>
      <c r="P24" s="15"/>
      <c r="Q24" s="15"/>
      <c r="R24" s="298"/>
      <c r="T24" s="298"/>
      <c r="V24" s="298"/>
      <c r="W24" s="298"/>
      <c r="X24" s="298"/>
      <c r="Y24" s="298"/>
      <c r="Z24" s="298"/>
      <c r="AB24" s="298"/>
    </row>
    <row r="25" spans="1:28" s="146" customFormat="1" ht="30" customHeight="1" x14ac:dyDescent="0.3">
      <c r="A25" s="141" t="s">
        <v>13</v>
      </c>
      <c r="B25" s="150"/>
      <c r="C25" s="143"/>
      <c r="D25" s="451">
        <v>36.970161977834614</v>
      </c>
      <c r="E25" s="502">
        <v>46.93</v>
      </c>
      <c r="F25" s="502">
        <v>27.79</v>
      </c>
      <c r="G25" s="301"/>
      <c r="H25" s="451">
        <v>38.443766346992156</v>
      </c>
      <c r="I25" s="502">
        <v>48.97</v>
      </c>
      <c r="J25" s="502">
        <v>28.8</v>
      </c>
      <c r="K25" s="301"/>
      <c r="L25" s="451">
        <v>41.303491495076095</v>
      </c>
      <c r="M25" s="301">
        <v>52.689393939393938</v>
      </c>
      <c r="N25" s="301">
        <v>31.096774193548388</v>
      </c>
      <c r="O25" s="319"/>
      <c r="P25" s="319"/>
      <c r="Q25" s="319"/>
      <c r="R25" s="303"/>
      <c r="T25" s="303"/>
      <c r="V25" s="303"/>
      <c r="W25" s="303"/>
      <c r="X25" s="303"/>
      <c r="Y25" s="303"/>
      <c r="Z25" s="303"/>
      <c r="AB25" s="303"/>
    </row>
    <row r="26" spans="1:28" ht="30" customHeight="1" x14ac:dyDescent="0.3">
      <c r="A26" s="148" t="s">
        <v>232</v>
      </c>
      <c r="B26" s="149"/>
      <c r="C26" s="135"/>
      <c r="D26" s="327">
        <v>126.4624060150376</v>
      </c>
      <c r="E26" s="299">
        <v>148.37</v>
      </c>
      <c r="F26" s="299">
        <v>110.06</v>
      </c>
      <c r="G26" s="299"/>
      <c r="H26" s="327">
        <v>122.74558303886927</v>
      </c>
      <c r="I26" s="299">
        <v>143.24</v>
      </c>
      <c r="J26" s="299">
        <v>107.47</v>
      </c>
      <c r="K26" s="299"/>
      <c r="L26" s="327">
        <v>130.27737704918033</v>
      </c>
      <c r="M26" s="299">
        <v>149.65308988764045</v>
      </c>
      <c r="N26" s="299">
        <v>113.30873308733086</v>
      </c>
      <c r="O26" s="15"/>
      <c r="P26" s="15"/>
      <c r="Q26" s="15"/>
      <c r="R26" s="298"/>
      <c r="T26" s="298"/>
      <c r="V26" s="298"/>
      <c r="W26" s="298"/>
      <c r="X26" s="298"/>
      <c r="Y26" s="298"/>
      <c r="Z26" s="298"/>
      <c r="AB26" s="298"/>
    </row>
    <row r="27" spans="1:28" s="146" customFormat="1" ht="30" customHeight="1" x14ac:dyDescent="0.3">
      <c r="A27" s="141" t="s">
        <v>15</v>
      </c>
      <c r="B27" s="150"/>
      <c r="C27" s="143"/>
      <c r="D27" s="451">
        <v>19.377777777777776</v>
      </c>
      <c r="E27" s="502">
        <v>23.67</v>
      </c>
      <c r="F27" s="502">
        <v>14.6</v>
      </c>
      <c r="G27" s="301"/>
      <c r="H27" s="451">
        <v>21.363636363636363</v>
      </c>
      <c r="I27" s="502">
        <v>26.87</v>
      </c>
      <c r="J27" s="502">
        <v>15.05</v>
      </c>
      <c r="K27" s="301"/>
      <c r="L27" s="451">
        <v>25.90909090909091</v>
      </c>
      <c r="M27" s="301">
        <v>35.05263157894737</v>
      </c>
      <c r="N27" s="301">
        <v>17.44736842105263</v>
      </c>
      <c r="O27" s="319"/>
      <c r="P27" s="319"/>
      <c r="Q27" s="319"/>
      <c r="R27" s="303"/>
      <c r="T27" s="303"/>
      <c r="V27" s="303"/>
      <c r="W27" s="303"/>
      <c r="X27" s="303"/>
      <c r="Y27" s="303"/>
      <c r="Z27" s="303"/>
      <c r="AB27" s="303"/>
    </row>
    <row r="28" spans="1:28" ht="18.75" customHeight="1" thickBot="1" x14ac:dyDescent="0.35">
      <c r="A28" s="152"/>
      <c r="B28" s="152"/>
      <c r="C28" s="153"/>
      <c r="D28" s="153"/>
      <c r="E28" s="153"/>
      <c r="F28" s="52"/>
      <c r="G28" s="175"/>
      <c r="H28" s="153"/>
      <c r="I28" s="174"/>
      <c r="J28" s="177"/>
      <c r="K28" s="175"/>
      <c r="L28" s="153"/>
      <c r="M28" s="174"/>
      <c r="N28" s="177"/>
    </row>
    <row r="29" spans="1:28" ht="18.75" customHeight="1" x14ac:dyDescent="0.3">
      <c r="A29" s="257"/>
      <c r="B29" s="56"/>
      <c r="C29" s="57"/>
      <c r="D29" s="57"/>
      <c r="E29" s="57"/>
      <c r="F29" s="58"/>
      <c r="G29" s="59"/>
      <c r="H29" s="57"/>
      <c r="I29" s="156"/>
      <c r="J29" s="55"/>
      <c r="K29" s="59"/>
      <c r="L29" s="57"/>
      <c r="M29" s="156"/>
      <c r="N29" s="55" t="s">
        <v>173</v>
      </c>
    </row>
    <row r="30" spans="1:28" ht="18.75" customHeight="1" x14ac:dyDescent="0.3">
      <c r="A30" s="63" t="s">
        <v>241</v>
      </c>
      <c r="B30" s="7"/>
      <c r="C30" s="57"/>
      <c r="D30" s="57"/>
      <c r="E30" s="57"/>
      <c r="F30" s="58"/>
      <c r="G30" s="59"/>
      <c r="H30" s="57"/>
      <c r="I30" s="156"/>
      <c r="J30" s="2"/>
      <c r="K30" s="59"/>
      <c r="L30" s="57"/>
      <c r="M30" s="156"/>
      <c r="N30" s="421" t="s">
        <v>277</v>
      </c>
    </row>
    <row r="31" spans="1:28" ht="18.75" customHeight="1" x14ac:dyDescent="0.3">
      <c r="A31" s="56" t="s">
        <v>234</v>
      </c>
      <c r="B31" s="7"/>
      <c r="C31" s="57"/>
      <c r="D31" s="57"/>
      <c r="E31" s="57"/>
      <c r="F31" s="58"/>
      <c r="G31" s="59"/>
      <c r="H31" s="57"/>
      <c r="I31" s="156"/>
      <c r="J31" s="2"/>
      <c r="K31" s="59"/>
      <c r="L31" s="57"/>
      <c r="M31" s="156"/>
      <c r="N31" s="421"/>
    </row>
    <row r="32" spans="1:28" ht="18.75" customHeight="1" x14ac:dyDescent="0.3">
      <c r="A32" s="437" t="s">
        <v>155</v>
      </c>
      <c r="B32" s="7"/>
      <c r="C32" s="57"/>
      <c r="D32" s="57"/>
      <c r="E32" s="57"/>
      <c r="F32" s="58"/>
      <c r="G32" s="59"/>
      <c r="H32" s="57"/>
      <c r="I32" s="156"/>
      <c r="J32" s="2"/>
      <c r="K32" s="59"/>
      <c r="L32" s="57"/>
      <c r="M32" s="156"/>
      <c r="N32" s="2"/>
    </row>
    <row r="33" spans="1:14" ht="18.75" customHeight="1" x14ac:dyDescent="0.3">
      <c r="B33" s="7"/>
      <c r="C33" s="57"/>
      <c r="D33" s="57"/>
      <c r="E33" s="57"/>
      <c r="F33" s="58"/>
      <c r="G33" s="59"/>
      <c r="H33" s="57"/>
      <c r="I33" s="156"/>
      <c r="J33" s="2"/>
      <c r="K33" s="59"/>
      <c r="L33" s="57"/>
      <c r="M33" s="156"/>
      <c r="N33" s="2"/>
    </row>
    <row r="34" spans="1:14" ht="37.5" customHeight="1" x14ac:dyDescent="0.3">
      <c r="A34" s="532" t="s">
        <v>280</v>
      </c>
      <c r="B34" s="532"/>
      <c r="C34" s="532"/>
      <c r="D34" s="532"/>
      <c r="E34" s="532"/>
      <c r="F34" s="532"/>
      <c r="G34" s="532"/>
      <c r="H34" s="532"/>
      <c r="I34" s="532"/>
      <c r="J34" s="532"/>
      <c r="K34" s="532"/>
      <c r="L34" s="532"/>
      <c r="M34" s="532"/>
      <c r="N34" s="532"/>
    </row>
    <row r="35" spans="1:14" ht="37.5" customHeight="1" x14ac:dyDescent="0.3">
      <c r="A35" s="533" t="s">
        <v>281</v>
      </c>
      <c r="B35" s="533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</row>
    <row r="36" spans="1:14" ht="18.75" customHeight="1" x14ac:dyDescent="0.3"/>
  </sheetData>
  <mergeCells count="11">
    <mergeCell ref="A35:M35"/>
    <mergeCell ref="A5:A8"/>
    <mergeCell ref="E6:F6"/>
    <mergeCell ref="I6:J6"/>
    <mergeCell ref="M6:N6"/>
    <mergeCell ref="D5:F5"/>
    <mergeCell ref="H5:J5"/>
    <mergeCell ref="L5:N5"/>
    <mergeCell ref="G4:G6"/>
    <mergeCell ref="K4:K6"/>
    <mergeCell ref="A34:N34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EE6EE8"/>
  </sheetPr>
  <dimension ref="A1:AJ33"/>
  <sheetViews>
    <sheetView tabSelected="1" view="pageBreakPreview" topLeftCell="A13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1.140625" style="16" customWidth="1"/>
    <col min="19" max="21" width="12.42578125" style="16"/>
    <col min="22" max="22" width="2.42578125" style="16" customWidth="1"/>
    <col min="23" max="16384" width="12.42578125" style="16"/>
  </cols>
  <sheetData>
    <row r="1" spans="1:36" s="71" customFormat="1" ht="18.75" customHeight="1" x14ac:dyDescent="0.3">
      <c r="A1" s="118" t="s">
        <v>103</v>
      </c>
      <c r="B1" s="118" t="s">
        <v>80</v>
      </c>
      <c r="C1" s="524" t="s">
        <v>195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36" s="427" customFormat="1" ht="18.75" customHeight="1" x14ac:dyDescent="0.3">
      <c r="A2" s="426" t="s">
        <v>104</v>
      </c>
      <c r="B2" s="426" t="s">
        <v>80</v>
      </c>
      <c r="C2" s="426" t="s">
        <v>196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36" s="57" customFormat="1" ht="11.25" customHeight="1" thickBot="1" x14ac:dyDescent="0.35">
      <c r="I3" s="119"/>
      <c r="J3" s="120"/>
      <c r="M3" s="119"/>
      <c r="N3" s="120"/>
    </row>
    <row r="4" spans="1:36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6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36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36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6" s="253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6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6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36" ht="30" customHeight="1" x14ac:dyDescent="0.3">
      <c r="A11" s="134" t="s">
        <v>0</v>
      </c>
      <c r="B11" s="258"/>
      <c r="C11" s="57"/>
      <c r="D11" s="296">
        <v>96.98</v>
      </c>
      <c r="E11" s="296">
        <v>97.27</v>
      </c>
      <c r="F11" s="296">
        <v>96.33</v>
      </c>
      <c r="G11" s="310"/>
      <c r="H11" s="296">
        <v>97.575111809548758</v>
      </c>
      <c r="I11" s="296">
        <v>98.522311090673185</v>
      </c>
      <c r="J11" s="296">
        <v>96.689270656539676</v>
      </c>
      <c r="K11" s="310"/>
      <c r="L11" s="296">
        <v>97.629224464873033</v>
      </c>
      <c r="M11" s="296">
        <v>98.332500709777463</v>
      </c>
      <c r="N11" s="296">
        <v>96.969184553204855</v>
      </c>
      <c r="W11" s="298"/>
      <c r="X11" s="298"/>
      <c r="Y11" s="298"/>
      <c r="Z11" s="298"/>
      <c r="AA11" s="298"/>
      <c r="AB11" s="298"/>
      <c r="AD11" s="298"/>
      <c r="AE11" s="298"/>
      <c r="AF11" s="298"/>
      <c r="AG11" s="298"/>
      <c r="AH11" s="298"/>
      <c r="AI11" s="298"/>
      <c r="AJ11" s="298"/>
    </row>
    <row r="12" spans="1:36" ht="18.75" customHeight="1" x14ac:dyDescent="0.3">
      <c r="A12" s="133"/>
      <c r="B12" s="133"/>
      <c r="C12" s="57"/>
      <c r="D12" s="299"/>
      <c r="E12" s="299"/>
      <c r="F12" s="299"/>
      <c r="G12" s="311"/>
      <c r="H12" s="299"/>
      <c r="I12" s="299"/>
      <c r="J12" s="299"/>
      <c r="K12" s="311"/>
      <c r="L12" s="299"/>
      <c r="M12" s="299"/>
      <c r="N12" s="299"/>
    </row>
    <row r="13" spans="1:36" s="146" customFormat="1" ht="30" customHeight="1" x14ac:dyDescent="0.3">
      <c r="A13" s="141" t="s">
        <v>1</v>
      </c>
      <c r="B13" s="312"/>
      <c r="C13" s="313"/>
      <c r="D13" s="301">
        <v>99.49</v>
      </c>
      <c r="E13" s="301">
        <v>99.81</v>
      </c>
      <c r="F13" s="301">
        <v>98.9</v>
      </c>
      <c r="G13" s="314"/>
      <c r="H13" s="301">
        <v>99.835701824217892</v>
      </c>
      <c r="I13" s="301">
        <v>100.48275379556426</v>
      </c>
      <c r="J13" s="301">
        <v>99.228319049026368</v>
      </c>
      <c r="K13" s="314"/>
      <c r="L13" s="301">
        <v>99.06588085097016</v>
      </c>
      <c r="M13" s="301">
        <v>99.779086892488948</v>
      </c>
      <c r="N13" s="301">
        <v>98.4022266840892</v>
      </c>
      <c r="W13" s="303"/>
      <c r="X13" s="303"/>
      <c r="Y13" s="303"/>
      <c r="Z13" s="303"/>
      <c r="AA13" s="303"/>
      <c r="AB13" s="303"/>
      <c r="AD13" s="303"/>
      <c r="AE13" s="303"/>
      <c r="AF13" s="303"/>
      <c r="AG13" s="303"/>
      <c r="AH13" s="303"/>
      <c r="AI13" s="303"/>
      <c r="AJ13" s="303"/>
    </row>
    <row r="14" spans="1:36" ht="30" customHeight="1" x14ac:dyDescent="0.3">
      <c r="A14" s="148" t="s">
        <v>2</v>
      </c>
      <c r="B14" s="179"/>
      <c r="C14" s="57"/>
      <c r="D14" s="299">
        <v>95.86</v>
      </c>
      <c r="E14" s="299">
        <v>95.56</v>
      </c>
      <c r="F14" s="299">
        <v>95.03</v>
      </c>
      <c r="G14" s="315"/>
      <c r="H14" s="299">
        <v>96.763245729672121</v>
      </c>
      <c r="I14" s="299">
        <v>96.671082186258133</v>
      </c>
      <c r="J14" s="299">
        <v>96.850738108255868</v>
      </c>
      <c r="K14" s="315"/>
      <c r="L14" s="299">
        <v>94.477699369376779</v>
      </c>
      <c r="M14" s="299">
        <v>94.877632327831535</v>
      </c>
      <c r="N14" s="299">
        <v>94.104903885263582</v>
      </c>
      <c r="W14" s="298"/>
      <c r="X14" s="298"/>
      <c r="Y14" s="298"/>
      <c r="Z14" s="298"/>
      <c r="AA14" s="298"/>
      <c r="AB14" s="298"/>
      <c r="AD14" s="298"/>
      <c r="AE14" s="298"/>
      <c r="AF14" s="298"/>
      <c r="AG14" s="298"/>
      <c r="AH14" s="298"/>
      <c r="AI14" s="298"/>
      <c r="AJ14" s="298"/>
    </row>
    <row r="15" spans="1:36" s="146" customFormat="1" ht="30" customHeight="1" x14ac:dyDescent="0.3">
      <c r="A15" s="141" t="s">
        <v>3</v>
      </c>
      <c r="B15" s="316"/>
      <c r="C15" s="157"/>
      <c r="D15" s="301">
        <v>74.72</v>
      </c>
      <c r="E15" s="301">
        <v>74.349999999999994</v>
      </c>
      <c r="F15" s="301">
        <v>74.55</v>
      </c>
      <c r="G15" s="314"/>
      <c r="H15" s="301">
        <v>76.110236220472444</v>
      </c>
      <c r="I15" s="301">
        <v>76.529838622332932</v>
      </c>
      <c r="J15" s="301">
        <v>75.715595395742071</v>
      </c>
      <c r="K15" s="314"/>
      <c r="L15" s="301">
        <v>76.410461496121229</v>
      </c>
      <c r="M15" s="301">
        <v>76.30039930739602</v>
      </c>
      <c r="N15" s="301">
        <v>76.514846839600509</v>
      </c>
      <c r="W15" s="303"/>
      <c r="X15" s="303"/>
      <c r="Y15" s="303"/>
      <c r="Z15" s="303"/>
      <c r="AA15" s="303"/>
      <c r="AB15" s="303"/>
      <c r="AD15" s="303"/>
      <c r="AE15" s="303"/>
      <c r="AF15" s="303"/>
      <c r="AG15" s="303"/>
      <c r="AH15" s="303"/>
      <c r="AI15" s="303"/>
      <c r="AJ15" s="303"/>
    </row>
    <row r="16" spans="1:36" ht="30" customHeight="1" x14ac:dyDescent="0.3">
      <c r="A16" s="148" t="s">
        <v>4</v>
      </c>
      <c r="B16" s="179"/>
      <c r="C16" s="57"/>
      <c r="D16" s="299">
        <v>105.85</v>
      </c>
      <c r="E16" s="299">
        <v>104.64</v>
      </c>
      <c r="F16" s="299">
        <v>106.33</v>
      </c>
      <c r="G16" s="315"/>
      <c r="H16" s="299">
        <v>104.91458975077008</v>
      </c>
      <c r="I16" s="299">
        <v>105.74393452206957</v>
      </c>
      <c r="J16" s="299">
        <v>104.1521096479441</v>
      </c>
      <c r="K16" s="315"/>
      <c r="L16" s="299">
        <v>105.14194331605734</v>
      </c>
      <c r="M16" s="299">
        <v>106.28205128205128</v>
      </c>
      <c r="N16" s="299">
        <v>104.07868615773326</v>
      </c>
      <c r="O16" s="317"/>
      <c r="P16" s="317"/>
      <c r="Q16" s="317"/>
      <c r="W16" s="298"/>
      <c r="X16" s="298"/>
      <c r="Y16" s="298"/>
      <c r="Z16" s="298"/>
      <c r="AA16" s="298"/>
      <c r="AB16" s="298"/>
      <c r="AD16" s="298"/>
      <c r="AE16" s="298"/>
      <c r="AF16" s="298"/>
      <c r="AG16" s="298"/>
      <c r="AH16" s="298"/>
      <c r="AI16" s="298"/>
      <c r="AJ16" s="298"/>
    </row>
    <row r="17" spans="1:36" s="146" customFormat="1" ht="30" customHeight="1" x14ac:dyDescent="0.3">
      <c r="A17" s="141" t="s">
        <v>5</v>
      </c>
      <c r="B17" s="316"/>
      <c r="C17" s="157"/>
      <c r="D17" s="301">
        <v>107.52</v>
      </c>
      <c r="E17" s="301">
        <v>107.94</v>
      </c>
      <c r="F17" s="301">
        <v>106.89</v>
      </c>
      <c r="G17" s="314"/>
      <c r="H17" s="301">
        <v>106.58247653106841</v>
      </c>
      <c r="I17" s="301">
        <v>106.81423108123769</v>
      </c>
      <c r="J17" s="301">
        <v>106.36667745764541</v>
      </c>
      <c r="K17" s="314"/>
      <c r="L17" s="301">
        <v>109.78837456027695</v>
      </c>
      <c r="M17" s="301">
        <v>109.24121127741037</v>
      </c>
      <c r="N17" s="301">
        <v>110.29601722282023</v>
      </c>
      <c r="W17" s="303"/>
      <c r="X17" s="303"/>
      <c r="Y17" s="303"/>
      <c r="Z17" s="303"/>
      <c r="AA17" s="303"/>
      <c r="AB17" s="303"/>
      <c r="AD17" s="303"/>
      <c r="AE17" s="303"/>
      <c r="AF17" s="303"/>
      <c r="AG17" s="303"/>
      <c r="AH17" s="303"/>
      <c r="AI17" s="303"/>
      <c r="AJ17" s="303"/>
    </row>
    <row r="18" spans="1:36" ht="30" customHeight="1" x14ac:dyDescent="0.3">
      <c r="A18" s="148" t="s">
        <v>6</v>
      </c>
      <c r="B18" s="179"/>
      <c r="C18" s="57"/>
      <c r="D18" s="299">
        <v>96.12</v>
      </c>
      <c r="E18" s="299">
        <v>95.91</v>
      </c>
      <c r="F18" s="299">
        <v>96.23</v>
      </c>
      <c r="G18" s="315"/>
      <c r="H18" s="299">
        <v>97.390541627074043</v>
      </c>
      <c r="I18" s="299">
        <v>98.491658413955975</v>
      </c>
      <c r="J18" s="299">
        <v>96.375131717597469</v>
      </c>
      <c r="K18" s="315"/>
      <c r="L18" s="299">
        <v>98.787157419276085</v>
      </c>
      <c r="M18" s="299">
        <v>99.419040479760127</v>
      </c>
      <c r="N18" s="299">
        <v>98.183554123403752</v>
      </c>
      <c r="O18" s="317"/>
      <c r="P18" s="317"/>
      <c r="Q18" s="317"/>
      <c r="W18" s="298"/>
      <c r="X18" s="298"/>
      <c r="Y18" s="298"/>
      <c r="Z18" s="298"/>
      <c r="AA18" s="298"/>
      <c r="AB18" s="298"/>
      <c r="AD18" s="298"/>
      <c r="AE18" s="298"/>
      <c r="AF18" s="298"/>
      <c r="AG18" s="298"/>
      <c r="AH18" s="298"/>
      <c r="AI18" s="298"/>
      <c r="AJ18" s="298"/>
    </row>
    <row r="19" spans="1:36" s="146" customFormat="1" ht="30" customHeight="1" x14ac:dyDescent="0.3">
      <c r="A19" s="141" t="s">
        <v>7</v>
      </c>
      <c r="B19" s="316"/>
      <c r="C19" s="157"/>
      <c r="D19" s="301">
        <v>96.65</v>
      </c>
      <c r="E19" s="301">
        <v>97.36</v>
      </c>
      <c r="F19" s="301">
        <v>95.86</v>
      </c>
      <c r="G19" s="314"/>
      <c r="H19" s="301">
        <v>95.942127274782408</v>
      </c>
      <c r="I19" s="301">
        <v>97.330353992708453</v>
      </c>
      <c r="J19" s="301">
        <v>94.657817430094653</v>
      </c>
      <c r="K19" s="314"/>
      <c r="L19" s="301">
        <v>97.428808538150506</v>
      </c>
      <c r="M19" s="301">
        <v>98.317212005413566</v>
      </c>
      <c r="N19" s="301">
        <v>96.592675845274897</v>
      </c>
      <c r="W19" s="303"/>
      <c r="X19" s="303"/>
      <c r="Y19" s="303"/>
      <c r="Z19" s="303"/>
      <c r="AA19" s="303"/>
      <c r="AB19" s="303"/>
      <c r="AD19" s="303"/>
      <c r="AE19" s="303"/>
      <c r="AF19" s="303"/>
      <c r="AG19" s="303"/>
      <c r="AH19" s="303"/>
      <c r="AI19" s="303"/>
      <c r="AJ19" s="303"/>
    </row>
    <row r="20" spans="1:36" ht="30" customHeight="1" x14ac:dyDescent="0.3">
      <c r="A20" s="148" t="s">
        <v>8</v>
      </c>
      <c r="B20" s="179"/>
      <c r="C20" s="57"/>
      <c r="D20" s="299">
        <v>100.91</v>
      </c>
      <c r="E20" s="299">
        <v>99.76</v>
      </c>
      <c r="F20" s="299">
        <v>101.67</v>
      </c>
      <c r="G20" s="315"/>
      <c r="H20" s="299">
        <v>99.54149472718936</v>
      </c>
      <c r="I20" s="299">
        <v>100.48030739673391</v>
      </c>
      <c r="J20" s="299">
        <v>98.68421052631578</v>
      </c>
      <c r="K20" s="315"/>
      <c r="L20" s="299">
        <v>99.50513750377759</v>
      </c>
      <c r="M20" s="299">
        <v>101.16706634692247</v>
      </c>
      <c r="N20" s="299">
        <v>98.016043546769822</v>
      </c>
      <c r="O20" s="317"/>
      <c r="P20" s="317"/>
      <c r="Q20" s="317"/>
      <c r="W20" s="298"/>
      <c r="X20" s="298"/>
      <c r="Y20" s="298"/>
      <c r="Z20" s="298"/>
      <c r="AA20" s="298"/>
      <c r="AB20" s="298"/>
      <c r="AD20" s="298"/>
      <c r="AE20" s="298"/>
      <c r="AF20" s="298"/>
      <c r="AG20" s="298"/>
      <c r="AH20" s="298"/>
      <c r="AI20" s="298"/>
      <c r="AJ20" s="298"/>
    </row>
    <row r="21" spans="1:36" s="146" customFormat="1" ht="30" customHeight="1" x14ac:dyDescent="0.3">
      <c r="A21" s="141" t="s">
        <v>9</v>
      </c>
      <c r="B21" s="316"/>
      <c r="C21" s="157"/>
      <c r="D21" s="301">
        <v>103.49</v>
      </c>
      <c r="E21" s="301">
        <v>104.19</v>
      </c>
      <c r="F21" s="301">
        <v>102.34</v>
      </c>
      <c r="G21" s="314"/>
      <c r="H21" s="301">
        <v>104.51180009254975</v>
      </c>
      <c r="I21" s="301">
        <v>104.3622885383007</v>
      </c>
      <c r="J21" s="301">
        <v>104.65367965367965</v>
      </c>
      <c r="K21" s="314"/>
      <c r="L21" s="301">
        <v>102.84566192910862</v>
      </c>
      <c r="M21" s="301">
        <v>103.65916481535142</v>
      </c>
      <c r="N21" s="301">
        <v>102.07763389871725</v>
      </c>
      <c r="W21" s="303"/>
      <c r="X21" s="303"/>
      <c r="Y21" s="303"/>
      <c r="Z21" s="303"/>
      <c r="AA21" s="303"/>
      <c r="AB21" s="303"/>
      <c r="AD21" s="303"/>
      <c r="AE21" s="303"/>
      <c r="AF21" s="303"/>
      <c r="AG21" s="303"/>
      <c r="AH21" s="303"/>
      <c r="AI21" s="303"/>
      <c r="AJ21" s="303"/>
    </row>
    <row r="22" spans="1:36" ht="30" customHeight="1" x14ac:dyDescent="0.3">
      <c r="A22" s="148" t="s">
        <v>10</v>
      </c>
      <c r="B22" s="179"/>
      <c r="C22" s="57"/>
      <c r="D22" s="299">
        <v>93.79</v>
      </c>
      <c r="E22" s="299">
        <v>94.54</v>
      </c>
      <c r="F22" s="299">
        <v>92.78</v>
      </c>
      <c r="G22" s="315"/>
      <c r="H22" s="299">
        <v>91.260048426150121</v>
      </c>
      <c r="I22" s="299">
        <v>92.46743820315335</v>
      </c>
      <c r="J22" s="299">
        <v>90.143890255722056</v>
      </c>
      <c r="K22" s="315"/>
      <c r="L22" s="299">
        <v>92.009941813417598</v>
      </c>
      <c r="M22" s="299">
        <v>92.571239231278994</v>
      </c>
      <c r="N22" s="299">
        <v>91.482256778309406</v>
      </c>
      <c r="W22" s="298"/>
      <c r="X22" s="298"/>
      <c r="Y22" s="298"/>
      <c r="Z22" s="298"/>
      <c r="AA22" s="298"/>
      <c r="AB22" s="298"/>
      <c r="AD22" s="298"/>
      <c r="AE22" s="298"/>
      <c r="AF22" s="298"/>
      <c r="AG22" s="298"/>
      <c r="AH22" s="298"/>
      <c r="AI22" s="298"/>
      <c r="AJ22" s="298"/>
    </row>
    <row r="23" spans="1:36" s="146" customFormat="1" ht="30" customHeight="1" x14ac:dyDescent="0.3">
      <c r="A23" s="141" t="s">
        <v>11</v>
      </c>
      <c r="B23" s="316"/>
      <c r="C23" s="157"/>
      <c r="D23" s="301">
        <v>94.15</v>
      </c>
      <c r="E23" s="301">
        <v>94.73</v>
      </c>
      <c r="F23" s="301">
        <v>93.58</v>
      </c>
      <c r="G23" s="314"/>
      <c r="H23" s="301">
        <v>94.198667763594386</v>
      </c>
      <c r="I23" s="301">
        <v>95.168736946246014</v>
      </c>
      <c r="J23" s="301">
        <v>93.292964540462876</v>
      </c>
      <c r="K23" s="314"/>
      <c r="L23" s="301">
        <v>95.069479771881433</v>
      </c>
      <c r="M23" s="301">
        <v>95.654672524702008</v>
      </c>
      <c r="N23" s="301">
        <v>94.526194410023407</v>
      </c>
      <c r="W23" s="303"/>
      <c r="X23" s="303"/>
      <c r="Y23" s="303"/>
      <c r="Z23" s="303"/>
      <c r="AA23" s="303"/>
      <c r="AB23" s="303"/>
      <c r="AD23" s="303"/>
      <c r="AE23" s="303"/>
      <c r="AF23" s="303"/>
      <c r="AG23" s="303"/>
      <c r="AH23" s="303"/>
      <c r="AI23" s="303"/>
      <c r="AJ23" s="303"/>
    </row>
    <row r="24" spans="1:36" ht="30" customHeight="1" x14ac:dyDescent="0.3">
      <c r="A24" s="148" t="s">
        <v>12</v>
      </c>
      <c r="B24" s="179"/>
      <c r="C24" s="57"/>
      <c r="D24" s="299">
        <v>102.09</v>
      </c>
      <c r="E24" s="299">
        <v>102.15</v>
      </c>
      <c r="F24" s="299">
        <v>101.81</v>
      </c>
      <c r="G24" s="315"/>
      <c r="H24" s="299">
        <v>104.93232966906032</v>
      </c>
      <c r="I24" s="299">
        <v>106.92220476199947</v>
      </c>
      <c r="J24" s="299">
        <v>103.0664204577248</v>
      </c>
      <c r="K24" s="315"/>
      <c r="L24" s="299">
        <v>104.19019757893955</v>
      </c>
      <c r="M24" s="299">
        <v>104.96865319121889</v>
      </c>
      <c r="N24" s="299">
        <v>103.46413549506373</v>
      </c>
      <c r="W24" s="298"/>
      <c r="X24" s="298"/>
      <c r="Y24" s="298"/>
      <c r="Z24" s="298"/>
      <c r="AA24" s="298"/>
      <c r="AB24" s="298"/>
      <c r="AD24" s="298"/>
      <c r="AE24" s="298"/>
      <c r="AF24" s="298"/>
      <c r="AG24" s="298"/>
      <c r="AH24" s="298"/>
      <c r="AI24" s="298"/>
      <c r="AJ24" s="298"/>
    </row>
    <row r="25" spans="1:36" s="146" customFormat="1" ht="30" customHeight="1" x14ac:dyDescent="0.3">
      <c r="A25" s="141" t="s">
        <v>13</v>
      </c>
      <c r="B25" s="316"/>
      <c r="C25" s="157"/>
      <c r="D25" s="301">
        <v>91.97</v>
      </c>
      <c r="E25" s="301">
        <v>91.8</v>
      </c>
      <c r="F25" s="301">
        <v>90.74</v>
      </c>
      <c r="G25" s="314"/>
      <c r="H25" s="301">
        <v>91.275192378160497</v>
      </c>
      <c r="I25" s="301">
        <v>91.363911595519227</v>
      </c>
      <c r="J25" s="301">
        <v>91.191930671970454</v>
      </c>
      <c r="K25" s="314"/>
      <c r="L25" s="301">
        <v>89.655379876302561</v>
      </c>
      <c r="M25" s="301">
        <v>90.008547008546998</v>
      </c>
      <c r="N25" s="301">
        <v>89.31231615902837</v>
      </c>
      <c r="W25" s="303"/>
      <c r="X25" s="303"/>
      <c r="Y25" s="303"/>
      <c r="Z25" s="303"/>
      <c r="AA25" s="303"/>
      <c r="AB25" s="303"/>
      <c r="AD25" s="303"/>
      <c r="AE25" s="303"/>
      <c r="AF25" s="303"/>
      <c r="AG25" s="303"/>
      <c r="AH25" s="303"/>
      <c r="AI25" s="303"/>
      <c r="AJ25" s="303"/>
    </row>
    <row r="26" spans="1:36" ht="30" customHeight="1" x14ac:dyDescent="0.3">
      <c r="A26" s="148" t="s">
        <v>14</v>
      </c>
      <c r="B26" s="179"/>
      <c r="C26" s="57"/>
      <c r="D26" s="299">
        <v>98.82</v>
      </c>
      <c r="E26" s="299">
        <v>101.59</v>
      </c>
      <c r="F26" s="299">
        <v>96.09</v>
      </c>
      <c r="G26" s="315"/>
      <c r="H26" s="299">
        <v>99.639837143751947</v>
      </c>
      <c r="I26" s="299">
        <v>100.63050683049066</v>
      </c>
      <c r="J26" s="299">
        <v>98.709481515220531</v>
      </c>
      <c r="K26" s="315"/>
      <c r="L26" s="299">
        <v>103.84589273591311</v>
      </c>
      <c r="M26" s="299">
        <v>106.73179048577339</v>
      </c>
      <c r="N26" s="299">
        <v>101.11956062526406</v>
      </c>
      <c r="W26" s="298"/>
      <c r="X26" s="298"/>
      <c r="Y26" s="298"/>
      <c r="Z26" s="298"/>
      <c r="AA26" s="298"/>
      <c r="AB26" s="298"/>
      <c r="AD26" s="298"/>
      <c r="AE26" s="298"/>
      <c r="AF26" s="298"/>
      <c r="AG26" s="298"/>
      <c r="AH26" s="298"/>
      <c r="AI26" s="298"/>
      <c r="AJ26" s="298"/>
    </row>
    <row r="27" spans="1:36" s="146" customFormat="1" ht="30" customHeight="1" x14ac:dyDescent="0.3">
      <c r="A27" s="141" t="s">
        <v>15</v>
      </c>
      <c r="B27" s="316"/>
      <c r="C27" s="157"/>
      <c r="D27" s="301">
        <v>96.12</v>
      </c>
      <c r="E27" s="301">
        <v>95.76</v>
      </c>
      <c r="F27" s="301">
        <v>96.05</v>
      </c>
      <c r="G27" s="314"/>
      <c r="H27" s="301">
        <v>107.45052386495925</v>
      </c>
      <c r="I27" s="301">
        <v>103.81062355658199</v>
      </c>
      <c r="J27" s="301">
        <v>111.15023474178405</v>
      </c>
      <c r="K27" s="314"/>
      <c r="L27" s="301">
        <v>108.70825834833033</v>
      </c>
      <c r="M27" s="301">
        <v>112.29372937293729</v>
      </c>
      <c r="N27" s="301">
        <v>105.33566162204113</v>
      </c>
      <c r="W27" s="303"/>
      <c r="X27" s="303"/>
      <c r="Y27" s="303"/>
      <c r="Z27" s="303"/>
      <c r="AA27" s="303"/>
      <c r="AB27" s="303"/>
      <c r="AD27" s="303"/>
      <c r="AE27" s="303"/>
      <c r="AF27" s="303"/>
      <c r="AG27" s="303"/>
      <c r="AH27" s="303"/>
      <c r="AI27" s="303"/>
      <c r="AJ27" s="303"/>
    </row>
    <row r="28" spans="1:36" ht="30" customHeight="1" x14ac:dyDescent="0.3">
      <c r="A28" s="148" t="s">
        <v>16</v>
      </c>
      <c r="B28" s="179"/>
      <c r="C28" s="57"/>
      <c r="D28" s="299">
        <v>144.13</v>
      </c>
      <c r="E28" s="299">
        <v>148.36000000000001</v>
      </c>
      <c r="F28" s="299">
        <v>140.94999999999999</v>
      </c>
      <c r="G28" s="315"/>
      <c r="H28" s="299">
        <v>153.69496855345912</v>
      </c>
      <c r="I28" s="299">
        <v>155.33661740558293</v>
      </c>
      <c r="J28" s="299">
        <v>152.18702865761688</v>
      </c>
      <c r="K28" s="315"/>
      <c r="L28" s="299">
        <v>154.06471453402858</v>
      </c>
      <c r="M28" s="299">
        <v>160.22664455500276</v>
      </c>
      <c r="N28" s="299">
        <v>148.2905982905983</v>
      </c>
      <c r="W28" s="298"/>
      <c r="X28" s="298"/>
      <c r="Y28" s="298"/>
      <c r="Z28" s="298"/>
      <c r="AA28" s="298"/>
      <c r="AB28" s="298"/>
      <c r="AD28" s="298"/>
      <c r="AE28" s="298"/>
      <c r="AF28" s="298"/>
      <c r="AG28" s="298"/>
      <c r="AH28" s="298"/>
      <c r="AI28" s="298"/>
      <c r="AJ28" s="298"/>
    </row>
    <row r="29" spans="1:36" ht="18.75" customHeight="1" thickBot="1" x14ac:dyDescent="0.35">
      <c r="A29" s="152"/>
      <c r="B29" s="152"/>
      <c r="C29" s="153"/>
      <c r="D29" s="52"/>
      <c r="E29" s="153"/>
      <c r="F29" s="52"/>
      <c r="G29" s="175"/>
      <c r="H29" s="52"/>
      <c r="I29" s="174"/>
      <c r="J29" s="177"/>
      <c r="K29" s="175"/>
      <c r="L29" s="52"/>
      <c r="M29" s="174"/>
      <c r="N29" s="177"/>
    </row>
    <row r="30" spans="1:36" ht="18.75" customHeight="1" x14ac:dyDescent="0.3">
      <c r="B30" s="56"/>
      <c r="C30" s="57"/>
      <c r="D30" s="58"/>
      <c r="E30" s="57"/>
      <c r="F30" s="58"/>
      <c r="G30" s="59"/>
      <c r="H30" s="58"/>
      <c r="I30" s="156"/>
      <c r="J30" s="55"/>
      <c r="K30" s="59"/>
      <c r="L30" s="58"/>
      <c r="M30" s="156"/>
      <c r="N30" s="55" t="s">
        <v>21</v>
      </c>
      <c r="O30" s="54"/>
      <c r="P30" s="54"/>
      <c r="Q30" s="54"/>
      <c r="R30" s="54"/>
      <c r="S30" s="54"/>
      <c r="T30" s="54"/>
    </row>
    <row r="31" spans="1:36" ht="18.75" customHeight="1" x14ac:dyDescent="0.3">
      <c r="A31" s="63"/>
      <c r="B31" s="7"/>
      <c r="C31" s="57"/>
      <c r="D31" s="58"/>
      <c r="E31" s="57"/>
      <c r="F31" s="58"/>
      <c r="G31" s="59"/>
      <c r="H31" s="58"/>
      <c r="I31" s="156"/>
      <c r="J31" s="2"/>
      <c r="K31" s="59"/>
      <c r="L31" s="58"/>
      <c r="M31" s="156"/>
      <c r="N31" s="421" t="s">
        <v>22</v>
      </c>
      <c r="O31" s="4"/>
      <c r="P31" s="4"/>
      <c r="Q31" s="4"/>
      <c r="R31" s="4"/>
      <c r="S31" s="4"/>
      <c r="T31" s="4"/>
    </row>
    <row r="32" spans="1:36" ht="18.75" customHeight="1" x14ac:dyDescent="0.3">
      <c r="A32" s="56"/>
    </row>
    <row r="33" spans="1:1" ht="18.75" customHeight="1" x14ac:dyDescent="0.3">
      <c r="A33" s="437"/>
    </row>
  </sheetData>
  <mergeCells count="8">
    <mergeCell ref="A5:A8"/>
    <mergeCell ref="C1:N1"/>
    <mergeCell ref="L5:N5"/>
    <mergeCell ref="D5:F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tabColor rgb="FFEE6EE8"/>
  </sheetPr>
  <dimension ref="A1:AJ32"/>
  <sheetViews>
    <sheetView tabSelected="1" view="pageBreakPreview" topLeftCell="A16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5.5703125" style="16" customWidth="1"/>
    <col min="19" max="16384" width="12.42578125" style="16"/>
  </cols>
  <sheetData>
    <row r="1" spans="1:36" s="71" customFormat="1" ht="18.75" customHeight="1" x14ac:dyDescent="0.3">
      <c r="A1" s="118" t="s">
        <v>105</v>
      </c>
      <c r="B1" s="118" t="s">
        <v>80</v>
      </c>
      <c r="C1" s="524" t="s">
        <v>197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36" s="427" customFormat="1" ht="18.75" customHeight="1" x14ac:dyDescent="0.3">
      <c r="A2" s="426" t="s">
        <v>106</v>
      </c>
      <c r="B2" s="426" t="s">
        <v>80</v>
      </c>
      <c r="C2" s="426" t="s">
        <v>198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36" s="57" customFormat="1" ht="11.25" customHeight="1" thickBot="1" x14ac:dyDescent="0.35">
      <c r="I3" s="119"/>
      <c r="J3" s="120"/>
      <c r="M3" s="119"/>
      <c r="N3" s="120"/>
    </row>
    <row r="4" spans="1:36" s="1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6" s="1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36" s="1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36" s="1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6" s="295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6" s="1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6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36" s="149" customFormat="1" ht="30" customHeight="1" x14ac:dyDescent="0.3">
      <c r="A11" s="134" t="s">
        <v>0</v>
      </c>
      <c r="B11" s="134"/>
      <c r="C11" s="135"/>
      <c r="D11" s="296">
        <v>92.38</v>
      </c>
      <c r="E11" s="296">
        <v>94.23</v>
      </c>
      <c r="F11" s="296">
        <v>90.64</v>
      </c>
      <c r="G11" s="296"/>
      <c r="H11" s="296">
        <v>93.440739317126514</v>
      </c>
      <c r="I11" s="296">
        <v>94.982737900605969</v>
      </c>
      <c r="J11" s="296">
        <v>91.994135831978838</v>
      </c>
      <c r="K11" s="296"/>
      <c r="L11" s="296">
        <v>93.626780508697038</v>
      </c>
      <c r="M11" s="296">
        <v>95.118735124940287</v>
      </c>
      <c r="N11" s="296">
        <v>92.230331282717515</v>
      </c>
      <c r="V11" s="297"/>
      <c r="W11" s="297"/>
      <c r="X11" s="297"/>
      <c r="Y11" s="297"/>
      <c r="Z11" s="297"/>
      <c r="AA11" s="297"/>
      <c r="AB11" s="298"/>
      <c r="AC11" s="16"/>
      <c r="AD11" s="298"/>
      <c r="AE11" s="298"/>
      <c r="AF11" s="298"/>
      <c r="AG11" s="298"/>
      <c r="AH11" s="298"/>
      <c r="AI11" s="298"/>
      <c r="AJ11" s="298"/>
    </row>
    <row r="12" spans="1:36" ht="18.75" customHeight="1" x14ac:dyDescent="0.3">
      <c r="A12" s="133"/>
      <c r="B12" s="133"/>
      <c r="C12" s="57"/>
      <c r="D12" s="299"/>
      <c r="E12" s="299"/>
      <c r="F12" s="299"/>
      <c r="G12" s="300"/>
      <c r="H12" s="299"/>
      <c r="I12" s="299"/>
      <c r="J12" s="299"/>
      <c r="K12" s="300"/>
      <c r="L12" s="299"/>
      <c r="M12" s="299"/>
      <c r="N12" s="299"/>
    </row>
    <row r="13" spans="1:36" s="150" customFormat="1" ht="30" customHeight="1" x14ac:dyDescent="0.3">
      <c r="A13" s="141" t="s">
        <v>1</v>
      </c>
      <c r="B13" s="142"/>
      <c r="C13" s="143"/>
      <c r="D13" s="301">
        <v>96.23</v>
      </c>
      <c r="E13" s="301">
        <v>97.78</v>
      </c>
      <c r="F13" s="301">
        <v>94.8</v>
      </c>
      <c r="G13" s="301"/>
      <c r="H13" s="301">
        <v>98.227154799654087</v>
      </c>
      <c r="I13" s="301">
        <v>99.542018840525742</v>
      </c>
      <c r="J13" s="301">
        <v>96.994449680594826</v>
      </c>
      <c r="K13" s="301"/>
      <c r="L13" s="301">
        <v>97.379745956826554</v>
      </c>
      <c r="M13" s="301">
        <v>98.616374687164821</v>
      </c>
      <c r="N13" s="301">
        <v>96.213500573201159</v>
      </c>
      <c r="V13" s="302"/>
      <c r="W13" s="302"/>
      <c r="X13" s="302"/>
      <c r="Y13" s="302"/>
      <c r="Z13" s="302"/>
      <c r="AA13" s="302"/>
      <c r="AB13" s="303"/>
      <c r="AC13" s="146"/>
      <c r="AD13" s="303"/>
      <c r="AE13" s="303"/>
      <c r="AF13" s="303"/>
      <c r="AG13" s="303"/>
      <c r="AH13" s="303"/>
      <c r="AI13" s="303"/>
      <c r="AJ13" s="303"/>
    </row>
    <row r="14" spans="1:36" s="149" customFormat="1" ht="30" customHeight="1" x14ac:dyDescent="0.3">
      <c r="A14" s="148" t="s">
        <v>2</v>
      </c>
      <c r="C14" s="135"/>
      <c r="D14" s="299">
        <v>94.23</v>
      </c>
      <c r="E14" s="299">
        <v>96.72</v>
      </c>
      <c r="F14" s="299">
        <v>91.87</v>
      </c>
      <c r="G14" s="299"/>
      <c r="H14" s="299">
        <v>91.436956897047821</v>
      </c>
      <c r="I14" s="299">
        <v>92.919299082131374</v>
      </c>
      <c r="J14" s="299">
        <v>90.053404539385852</v>
      </c>
      <c r="K14" s="299"/>
      <c r="L14" s="299">
        <v>93.022733020485006</v>
      </c>
      <c r="M14" s="299">
        <v>94.839343504392048</v>
      </c>
      <c r="N14" s="299">
        <v>91.303396597932505</v>
      </c>
      <c r="V14" s="297"/>
      <c r="W14" s="297"/>
      <c r="X14" s="297"/>
      <c r="Y14" s="297"/>
      <c r="Z14" s="297"/>
      <c r="AA14" s="297"/>
      <c r="AB14" s="298"/>
      <c r="AC14" s="16"/>
      <c r="AD14" s="298"/>
      <c r="AE14" s="298"/>
      <c r="AF14" s="298"/>
      <c r="AG14" s="298"/>
      <c r="AH14" s="298"/>
      <c r="AI14" s="298"/>
      <c r="AJ14" s="298"/>
    </row>
    <row r="15" spans="1:36" s="150" customFormat="1" ht="30" customHeight="1" x14ac:dyDescent="0.3">
      <c r="A15" s="141" t="s">
        <v>3</v>
      </c>
      <c r="C15" s="143"/>
      <c r="D15" s="301">
        <v>83.58</v>
      </c>
      <c r="E15" s="301">
        <v>85.56</v>
      </c>
      <c r="F15" s="301">
        <v>81.7</v>
      </c>
      <c r="G15" s="301"/>
      <c r="H15" s="301">
        <v>81.60121440418294</v>
      </c>
      <c r="I15" s="301">
        <v>84.013941330235269</v>
      </c>
      <c r="J15" s="301">
        <v>79.338707920252745</v>
      </c>
      <c r="K15" s="301"/>
      <c r="L15" s="301">
        <v>81.31543624161074</v>
      </c>
      <c r="M15" s="301">
        <v>83.926597391112097</v>
      </c>
      <c r="N15" s="301">
        <v>78.849566760622196</v>
      </c>
      <c r="V15" s="302"/>
      <c r="W15" s="302"/>
      <c r="X15" s="302"/>
      <c r="Y15" s="302"/>
      <c r="Z15" s="302"/>
      <c r="AA15" s="302"/>
      <c r="AB15" s="303"/>
      <c r="AC15" s="146"/>
      <c r="AD15" s="303"/>
      <c r="AE15" s="303"/>
      <c r="AF15" s="303"/>
      <c r="AG15" s="303"/>
      <c r="AH15" s="303"/>
      <c r="AI15" s="303"/>
      <c r="AJ15" s="303"/>
    </row>
    <row r="16" spans="1:36" s="149" customFormat="1" ht="30" customHeight="1" x14ac:dyDescent="0.3">
      <c r="A16" s="148" t="s">
        <v>4</v>
      </c>
      <c r="C16" s="135"/>
      <c r="D16" s="299">
        <v>102.99</v>
      </c>
      <c r="E16" s="299">
        <v>104.37</v>
      </c>
      <c r="F16" s="299">
        <v>101.69</v>
      </c>
      <c r="G16" s="299"/>
      <c r="H16" s="299">
        <v>104.69381411252721</v>
      </c>
      <c r="I16" s="299">
        <v>105.30671859785782</v>
      </c>
      <c r="J16" s="299">
        <v>104.13062928720549</v>
      </c>
      <c r="K16" s="299"/>
      <c r="L16" s="299">
        <v>108.30259636942215</v>
      </c>
      <c r="M16" s="299">
        <v>107.83751132588341</v>
      </c>
      <c r="N16" s="299">
        <v>108.73004857737682</v>
      </c>
      <c r="V16" s="297"/>
      <c r="W16" s="297"/>
      <c r="X16" s="297"/>
      <c r="Y16" s="297"/>
      <c r="Z16" s="297"/>
      <c r="AA16" s="297"/>
      <c r="AB16" s="298"/>
      <c r="AC16" s="16"/>
      <c r="AD16" s="298"/>
      <c r="AE16" s="298"/>
      <c r="AF16" s="298"/>
      <c r="AG16" s="298"/>
      <c r="AH16" s="298"/>
      <c r="AI16" s="298"/>
      <c r="AJ16" s="298"/>
    </row>
    <row r="17" spans="1:36" s="150" customFormat="1" ht="30" customHeight="1" x14ac:dyDescent="0.3">
      <c r="A17" s="141" t="s">
        <v>5</v>
      </c>
      <c r="C17" s="143"/>
      <c r="D17" s="301">
        <v>108.82</v>
      </c>
      <c r="E17" s="301">
        <v>109.13</v>
      </c>
      <c r="F17" s="301">
        <v>108.53</v>
      </c>
      <c r="G17" s="301"/>
      <c r="H17" s="301">
        <v>112.46570440176549</v>
      </c>
      <c r="I17" s="301">
        <v>114.0609756097561</v>
      </c>
      <c r="J17" s="301">
        <v>110.93859444314734</v>
      </c>
      <c r="K17" s="301"/>
      <c r="L17" s="301">
        <v>112.67935745726862</v>
      </c>
      <c r="M17" s="301">
        <v>114.10011918951133</v>
      </c>
      <c r="N17" s="301">
        <v>111.36987806217731</v>
      </c>
      <c r="V17" s="302"/>
      <c r="W17" s="302"/>
      <c r="X17" s="302"/>
      <c r="Y17" s="302"/>
      <c r="Z17" s="302"/>
      <c r="AA17" s="302"/>
      <c r="AB17" s="303"/>
      <c r="AC17" s="146"/>
      <c r="AD17" s="303"/>
      <c r="AE17" s="303"/>
      <c r="AF17" s="303"/>
      <c r="AG17" s="303"/>
      <c r="AH17" s="303"/>
      <c r="AI17" s="303"/>
      <c r="AJ17" s="303"/>
    </row>
    <row r="18" spans="1:36" s="149" customFormat="1" ht="30" customHeight="1" x14ac:dyDescent="0.3">
      <c r="A18" s="148" t="s">
        <v>6</v>
      </c>
      <c r="C18" s="135"/>
      <c r="D18" s="299">
        <v>94.11</v>
      </c>
      <c r="E18" s="299">
        <v>95.92</v>
      </c>
      <c r="F18" s="299">
        <v>92.43</v>
      </c>
      <c r="G18" s="299"/>
      <c r="H18" s="299">
        <v>92.994773383259215</v>
      </c>
      <c r="I18" s="299">
        <v>96.739569042046654</v>
      </c>
      <c r="J18" s="299">
        <v>89.491960443874092</v>
      </c>
      <c r="K18" s="299"/>
      <c r="L18" s="299">
        <v>96.11963823319698</v>
      </c>
      <c r="M18" s="299">
        <v>98.781916139611141</v>
      </c>
      <c r="N18" s="299">
        <v>93.656069364161851</v>
      </c>
      <c r="V18" s="297"/>
      <c r="W18" s="297"/>
      <c r="X18" s="297"/>
      <c r="Y18" s="297"/>
      <c r="Z18" s="297"/>
      <c r="AA18" s="297"/>
      <c r="AB18" s="298"/>
      <c r="AC18" s="16"/>
      <c r="AD18" s="298"/>
      <c r="AE18" s="298"/>
      <c r="AF18" s="298"/>
      <c r="AG18" s="298"/>
      <c r="AH18" s="298"/>
      <c r="AI18" s="298"/>
      <c r="AJ18" s="298"/>
    </row>
    <row r="19" spans="1:36" s="150" customFormat="1" ht="30" customHeight="1" x14ac:dyDescent="0.3">
      <c r="A19" s="141" t="s">
        <v>7</v>
      </c>
      <c r="C19" s="143"/>
      <c r="D19" s="301">
        <v>97.59</v>
      </c>
      <c r="E19" s="301">
        <v>98.09</v>
      </c>
      <c r="F19" s="301">
        <v>97.11</v>
      </c>
      <c r="G19" s="301"/>
      <c r="H19" s="301">
        <v>95.514008197181525</v>
      </c>
      <c r="I19" s="301">
        <v>96.456647398843927</v>
      </c>
      <c r="J19" s="301">
        <v>94.623949350507587</v>
      </c>
      <c r="K19" s="301"/>
      <c r="L19" s="301">
        <v>97.520060315579727</v>
      </c>
      <c r="M19" s="301">
        <v>98.233748812251974</v>
      </c>
      <c r="N19" s="301">
        <v>96.856652984880768</v>
      </c>
      <c r="V19" s="302"/>
      <c r="W19" s="302"/>
      <c r="X19" s="302"/>
      <c r="Y19" s="302"/>
      <c r="Z19" s="302"/>
      <c r="AA19" s="302"/>
      <c r="AB19" s="303"/>
      <c r="AC19" s="146"/>
      <c r="AD19" s="303"/>
      <c r="AE19" s="303"/>
      <c r="AF19" s="303"/>
      <c r="AG19" s="303"/>
      <c r="AH19" s="303"/>
      <c r="AI19" s="303"/>
      <c r="AJ19" s="303"/>
    </row>
    <row r="20" spans="1:36" s="149" customFormat="1" ht="30" customHeight="1" x14ac:dyDescent="0.3">
      <c r="A20" s="148" t="s">
        <v>8</v>
      </c>
      <c r="C20" s="135"/>
      <c r="D20" s="299">
        <v>102.53</v>
      </c>
      <c r="E20" s="299">
        <v>106.12</v>
      </c>
      <c r="F20" s="299">
        <v>99.22</v>
      </c>
      <c r="G20" s="299"/>
      <c r="H20" s="299">
        <v>106.20231356140783</v>
      </c>
      <c r="I20" s="299">
        <v>107.63358778625954</v>
      </c>
      <c r="J20" s="299">
        <v>104.86177311725453</v>
      </c>
      <c r="K20" s="299"/>
      <c r="L20" s="299">
        <v>108.56515373352855</v>
      </c>
      <c r="M20" s="299">
        <v>111.34020618556701</v>
      </c>
      <c r="N20" s="299">
        <v>106.07043558850788</v>
      </c>
      <c r="V20" s="297"/>
      <c r="W20" s="297"/>
      <c r="X20" s="297"/>
      <c r="Y20" s="297"/>
      <c r="Z20" s="297"/>
      <c r="AA20" s="297"/>
      <c r="AB20" s="298"/>
      <c r="AC20" s="16"/>
      <c r="AD20" s="298"/>
      <c r="AE20" s="298"/>
      <c r="AF20" s="298"/>
      <c r="AG20" s="298"/>
      <c r="AH20" s="298"/>
      <c r="AI20" s="298"/>
      <c r="AJ20" s="298"/>
    </row>
    <row r="21" spans="1:36" s="150" customFormat="1" ht="30" customHeight="1" x14ac:dyDescent="0.3">
      <c r="A21" s="141" t="s">
        <v>9</v>
      </c>
      <c r="C21" s="143"/>
      <c r="D21" s="301">
        <v>97.67</v>
      </c>
      <c r="E21" s="301">
        <v>99.11</v>
      </c>
      <c r="F21" s="301">
        <v>96.32</v>
      </c>
      <c r="G21" s="301"/>
      <c r="H21" s="301">
        <v>94.946123772289496</v>
      </c>
      <c r="I21" s="301">
        <v>98.17139468221805</v>
      </c>
      <c r="J21" s="301">
        <v>91.940683430045141</v>
      </c>
      <c r="K21" s="301"/>
      <c r="L21" s="301">
        <v>103.27987350350125</v>
      </c>
      <c r="M21" s="301">
        <v>104.28853569077401</v>
      </c>
      <c r="N21" s="301">
        <v>102.34741784037557</v>
      </c>
      <c r="V21" s="302"/>
      <c r="W21" s="302"/>
      <c r="X21" s="302"/>
      <c r="Y21" s="302"/>
      <c r="Z21" s="302"/>
      <c r="AA21" s="302"/>
      <c r="AB21" s="303"/>
      <c r="AC21" s="146"/>
      <c r="AD21" s="303"/>
      <c r="AE21" s="303"/>
      <c r="AF21" s="303"/>
      <c r="AG21" s="303"/>
      <c r="AH21" s="303"/>
      <c r="AI21" s="303"/>
      <c r="AJ21" s="303"/>
    </row>
    <row r="22" spans="1:36" s="149" customFormat="1" ht="30" customHeight="1" x14ac:dyDescent="0.3">
      <c r="A22" s="148" t="s">
        <v>10</v>
      </c>
      <c r="C22" s="135"/>
      <c r="D22" s="299">
        <v>90.18</v>
      </c>
      <c r="E22" s="299">
        <v>91.89</v>
      </c>
      <c r="F22" s="299">
        <v>88.57</v>
      </c>
      <c r="G22" s="299"/>
      <c r="H22" s="299">
        <v>88.73139880952381</v>
      </c>
      <c r="I22" s="299">
        <v>89.830835779391322</v>
      </c>
      <c r="J22" s="299">
        <v>87.709918185732732</v>
      </c>
      <c r="K22" s="299"/>
      <c r="L22" s="299">
        <v>86.839406702069226</v>
      </c>
      <c r="M22" s="299">
        <v>88.538779848904753</v>
      </c>
      <c r="N22" s="299">
        <v>85.255934062046762</v>
      </c>
      <c r="V22" s="297"/>
      <c r="W22" s="297"/>
      <c r="X22" s="297"/>
      <c r="Y22" s="297"/>
      <c r="Z22" s="297"/>
      <c r="AA22" s="297"/>
      <c r="AB22" s="298"/>
      <c r="AC22" s="16"/>
      <c r="AD22" s="298"/>
      <c r="AE22" s="298"/>
      <c r="AF22" s="298"/>
      <c r="AG22" s="298"/>
      <c r="AH22" s="298"/>
      <c r="AI22" s="298"/>
      <c r="AJ22" s="298"/>
    </row>
    <row r="23" spans="1:36" s="150" customFormat="1" ht="30" customHeight="1" x14ac:dyDescent="0.3">
      <c r="A23" s="141" t="s">
        <v>11</v>
      </c>
      <c r="C23" s="143"/>
      <c r="D23" s="301">
        <v>92.97</v>
      </c>
      <c r="E23" s="301">
        <v>94.97</v>
      </c>
      <c r="F23" s="301">
        <v>91.1</v>
      </c>
      <c r="G23" s="301"/>
      <c r="H23" s="301">
        <v>94.554045496614549</v>
      </c>
      <c r="I23" s="301">
        <v>96.173212487411888</v>
      </c>
      <c r="J23" s="301">
        <v>93.03707896971413</v>
      </c>
      <c r="K23" s="301"/>
      <c r="L23" s="301">
        <v>94.401526433358157</v>
      </c>
      <c r="M23" s="301">
        <v>95.1993490642799</v>
      </c>
      <c r="N23" s="301">
        <v>93.646696553910246</v>
      </c>
      <c r="V23" s="302"/>
      <c r="W23" s="302"/>
      <c r="X23" s="302"/>
      <c r="Y23" s="302"/>
      <c r="Z23" s="302"/>
      <c r="AA23" s="302"/>
      <c r="AB23" s="303"/>
      <c r="AC23" s="146"/>
      <c r="AD23" s="303"/>
      <c r="AE23" s="303"/>
      <c r="AF23" s="303"/>
      <c r="AG23" s="303"/>
      <c r="AH23" s="303"/>
      <c r="AI23" s="303"/>
      <c r="AJ23" s="303"/>
    </row>
    <row r="24" spans="1:36" s="149" customFormat="1" ht="30" customHeight="1" x14ac:dyDescent="0.3">
      <c r="A24" s="148" t="s">
        <v>12</v>
      </c>
      <c r="C24" s="135"/>
      <c r="D24" s="299">
        <v>83.72</v>
      </c>
      <c r="E24" s="299">
        <v>86.02</v>
      </c>
      <c r="F24" s="299">
        <v>81.56</v>
      </c>
      <c r="G24" s="299"/>
      <c r="H24" s="299">
        <v>92.416717017071349</v>
      </c>
      <c r="I24" s="299">
        <v>93.113671727154212</v>
      </c>
      <c r="J24" s="299">
        <v>91.755005889281506</v>
      </c>
      <c r="K24" s="299"/>
      <c r="L24" s="299">
        <v>88.936414274465577</v>
      </c>
      <c r="M24" s="299">
        <v>90.018684829124226</v>
      </c>
      <c r="N24" s="299">
        <v>87.921877354226311</v>
      </c>
      <c r="V24" s="297"/>
      <c r="W24" s="297"/>
      <c r="X24" s="297"/>
      <c r="Y24" s="297"/>
      <c r="Z24" s="297"/>
      <c r="AA24" s="297"/>
      <c r="AB24" s="298"/>
      <c r="AC24" s="16"/>
      <c r="AD24" s="298"/>
      <c r="AE24" s="298"/>
      <c r="AF24" s="298"/>
      <c r="AG24" s="298"/>
      <c r="AH24" s="298"/>
      <c r="AI24" s="298"/>
      <c r="AJ24" s="298"/>
    </row>
    <row r="25" spans="1:36" s="150" customFormat="1" ht="30" customHeight="1" x14ac:dyDescent="0.3">
      <c r="A25" s="141" t="s">
        <v>13</v>
      </c>
      <c r="C25" s="143"/>
      <c r="D25" s="301">
        <v>89.79</v>
      </c>
      <c r="E25" s="301">
        <v>96.87</v>
      </c>
      <c r="F25" s="301">
        <v>93.72</v>
      </c>
      <c r="G25" s="301"/>
      <c r="H25" s="301">
        <v>89.135387936203387</v>
      </c>
      <c r="I25" s="301">
        <v>94.692785640317567</v>
      </c>
      <c r="J25" s="301">
        <v>91.456718346253226</v>
      </c>
      <c r="K25" s="301"/>
      <c r="L25" s="301">
        <v>91.953741163009269</v>
      </c>
      <c r="M25" s="301">
        <v>95.602343153069029</v>
      </c>
      <c r="N25" s="301">
        <v>88.567601638827611</v>
      </c>
      <c r="V25" s="302"/>
      <c r="W25" s="302"/>
      <c r="X25" s="302"/>
      <c r="Y25" s="302"/>
      <c r="Z25" s="302"/>
      <c r="AA25" s="302"/>
      <c r="AB25" s="303"/>
      <c r="AC25" s="146"/>
      <c r="AD25" s="303"/>
      <c r="AE25" s="303"/>
      <c r="AF25" s="303"/>
      <c r="AG25" s="303"/>
      <c r="AH25" s="303"/>
      <c r="AI25" s="303"/>
      <c r="AJ25" s="303"/>
    </row>
    <row r="26" spans="1:36" s="149" customFormat="1" ht="30" customHeight="1" x14ac:dyDescent="0.3">
      <c r="A26" s="148" t="s">
        <v>232</v>
      </c>
      <c r="C26" s="135"/>
      <c r="D26" s="299">
        <v>96.81</v>
      </c>
      <c r="E26" s="299">
        <v>99.81</v>
      </c>
      <c r="F26" s="299">
        <v>93.97</v>
      </c>
      <c r="G26" s="299"/>
      <c r="H26" s="299">
        <v>90.996965269191861</v>
      </c>
      <c r="I26" s="299">
        <v>93.331255842941729</v>
      </c>
      <c r="J26" s="299">
        <v>88.834355828220851</v>
      </c>
      <c r="K26" s="299"/>
      <c r="L26" s="299">
        <v>97.205001948350983</v>
      </c>
      <c r="M26" s="299">
        <v>98.920338488473874</v>
      </c>
      <c r="N26" s="299">
        <v>95.585703463948761</v>
      </c>
      <c r="V26" s="297"/>
      <c r="W26" s="297"/>
      <c r="X26" s="297"/>
      <c r="Y26" s="297"/>
      <c r="Z26" s="297"/>
      <c r="AA26" s="297"/>
      <c r="AB26" s="298"/>
      <c r="AC26" s="16"/>
      <c r="AD26" s="298"/>
      <c r="AE26" s="298"/>
      <c r="AF26" s="298"/>
      <c r="AG26" s="298"/>
      <c r="AH26" s="298"/>
      <c r="AI26" s="298"/>
      <c r="AJ26" s="298"/>
    </row>
    <row r="27" spans="1:36" s="150" customFormat="1" ht="30" customHeight="1" x14ac:dyDescent="0.3">
      <c r="A27" s="141" t="s">
        <v>15</v>
      </c>
      <c r="C27" s="143"/>
      <c r="D27" s="301">
        <v>88.57</v>
      </c>
      <c r="E27" s="301">
        <v>93.98</v>
      </c>
      <c r="F27" s="301">
        <v>83.43</v>
      </c>
      <c r="G27" s="301"/>
      <c r="H27" s="301">
        <v>92.364990689013041</v>
      </c>
      <c r="I27" s="301">
        <v>94.661458333333343</v>
      </c>
      <c r="J27" s="301">
        <v>90.272835112692761</v>
      </c>
      <c r="K27" s="301"/>
      <c r="L27" s="301">
        <v>94.499707431246335</v>
      </c>
      <c r="M27" s="301">
        <v>97.665847665847664</v>
      </c>
      <c r="N27" s="301">
        <v>91.620111731843579</v>
      </c>
      <c r="V27" s="302"/>
      <c r="W27" s="302"/>
      <c r="X27" s="302"/>
      <c r="Y27" s="302"/>
      <c r="Z27" s="302"/>
      <c r="AA27" s="302"/>
      <c r="AB27" s="303"/>
      <c r="AC27" s="146"/>
      <c r="AD27" s="303"/>
      <c r="AE27" s="303"/>
      <c r="AF27" s="303"/>
      <c r="AG27" s="303"/>
      <c r="AH27" s="303"/>
      <c r="AI27" s="303"/>
      <c r="AJ27" s="303"/>
    </row>
    <row r="28" spans="1:36" ht="18.75" customHeight="1" thickBot="1" x14ac:dyDescent="0.35">
      <c r="A28" s="304"/>
      <c r="B28" s="304"/>
      <c r="C28" s="305"/>
      <c r="D28" s="306"/>
      <c r="E28" s="305"/>
      <c r="F28" s="306"/>
      <c r="G28" s="307"/>
      <c r="H28" s="306"/>
      <c r="I28" s="308"/>
      <c r="J28" s="309"/>
      <c r="K28" s="307"/>
      <c r="L28" s="306"/>
      <c r="M28" s="308"/>
      <c r="N28" s="309"/>
    </row>
    <row r="29" spans="1:36" ht="18.75" customHeight="1" x14ac:dyDescent="0.3">
      <c r="A29" s="257"/>
      <c r="B29" s="56"/>
      <c r="C29" s="57"/>
      <c r="D29" s="58"/>
      <c r="E29" s="57"/>
      <c r="F29" s="58"/>
      <c r="G29" s="59"/>
      <c r="H29" s="58"/>
      <c r="I29" s="156"/>
      <c r="J29" s="55"/>
      <c r="K29" s="59"/>
      <c r="L29" s="58"/>
      <c r="M29" s="156"/>
      <c r="N29" s="55" t="s">
        <v>21</v>
      </c>
      <c r="O29" s="54"/>
      <c r="P29" s="54"/>
      <c r="Q29" s="54"/>
      <c r="R29" s="54"/>
      <c r="S29" s="54"/>
    </row>
    <row r="30" spans="1:36" ht="18.75" customHeight="1" x14ac:dyDescent="0.3">
      <c r="A30" s="63" t="s">
        <v>278</v>
      </c>
      <c r="B30" s="7"/>
      <c r="C30" s="57"/>
      <c r="D30" s="58"/>
      <c r="E30" s="57"/>
      <c r="F30" s="58"/>
      <c r="G30" s="59"/>
      <c r="H30" s="58"/>
      <c r="I30" s="156"/>
      <c r="J30" s="2"/>
      <c r="K30" s="59"/>
      <c r="L30" s="58"/>
      <c r="M30" s="156"/>
      <c r="N30" s="421" t="s">
        <v>22</v>
      </c>
      <c r="O30" s="4"/>
      <c r="P30" s="4"/>
      <c r="Q30" s="4"/>
      <c r="R30" s="4"/>
      <c r="S30" s="4"/>
    </row>
    <row r="31" spans="1:36" ht="18.75" customHeight="1" x14ac:dyDescent="0.3">
      <c r="A31" s="56" t="s">
        <v>234</v>
      </c>
    </row>
    <row r="32" spans="1:36" ht="18.75" customHeight="1" x14ac:dyDescent="0.3">
      <c r="A32" s="437" t="s">
        <v>75</v>
      </c>
    </row>
  </sheetData>
  <mergeCells count="8">
    <mergeCell ref="A5:A8"/>
    <mergeCell ref="C1:N1"/>
    <mergeCell ref="L5:N5"/>
    <mergeCell ref="D5:F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tabColor rgb="FFEE6EE8"/>
  </sheetPr>
  <dimension ref="A1:AJ37"/>
  <sheetViews>
    <sheetView tabSelected="1" view="pageBreakPreview" topLeftCell="A16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21" style="16" customWidth="1"/>
    <col min="4" max="6" width="15" style="16" customWidth="1"/>
    <col min="7" max="7" width="1.7109375" style="16" customWidth="1"/>
    <col min="8" max="8" width="15" style="16" customWidth="1"/>
    <col min="9" max="9" width="15" style="14" customWidth="1"/>
    <col min="10" max="10" width="15" style="15" customWidth="1"/>
    <col min="11" max="11" width="1.7109375" style="16" customWidth="1"/>
    <col min="12" max="12" width="15" style="16" customWidth="1"/>
    <col min="13" max="13" width="15" style="14" customWidth="1"/>
    <col min="14" max="14" width="15" style="15" customWidth="1"/>
    <col min="15" max="17" width="10.7109375" style="16" customWidth="1"/>
    <col min="18" max="18" width="1.42578125" style="16" customWidth="1"/>
    <col min="19" max="21" width="10.7109375" style="16" customWidth="1"/>
    <col min="22" max="22" width="0.85546875" style="16" customWidth="1"/>
    <col min="23" max="25" width="10.7109375" style="16" customWidth="1"/>
    <col min="26" max="28" width="12.42578125" style="16"/>
    <col min="29" max="29" width="4.85546875" style="16" customWidth="1"/>
    <col min="30" max="32" width="12.42578125" style="16"/>
    <col min="33" max="33" width="4.85546875" style="16" customWidth="1"/>
    <col min="34" max="16384" width="12.42578125" style="16"/>
  </cols>
  <sheetData>
    <row r="1" spans="1:36" s="71" customFormat="1" ht="18.75" customHeight="1" x14ac:dyDescent="0.3">
      <c r="A1" s="118" t="s">
        <v>107</v>
      </c>
      <c r="B1" s="118" t="s">
        <v>80</v>
      </c>
      <c r="C1" s="252" t="s">
        <v>199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</row>
    <row r="2" spans="1:36" s="427" customFormat="1" ht="18.75" customHeight="1" x14ac:dyDescent="0.3">
      <c r="A2" s="429" t="s">
        <v>108</v>
      </c>
      <c r="B2" s="429" t="s">
        <v>80</v>
      </c>
      <c r="C2" s="426" t="s">
        <v>200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36" s="57" customFormat="1" ht="11.25" customHeight="1" thickBot="1" x14ac:dyDescent="0.35">
      <c r="I3" s="119"/>
      <c r="J3" s="120"/>
      <c r="M3" s="119"/>
      <c r="N3" s="120"/>
    </row>
    <row r="4" spans="1:36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6" s="57" customFormat="1" ht="18.75" customHeight="1" x14ac:dyDescent="0.3">
      <c r="A5" s="525" t="s">
        <v>242</v>
      </c>
      <c r="B5" s="125"/>
      <c r="C5" s="126"/>
      <c r="D5" s="543">
        <v>2022</v>
      </c>
      <c r="E5" s="543"/>
      <c r="F5" s="543"/>
      <c r="G5" s="127"/>
      <c r="H5" s="543">
        <v>2023</v>
      </c>
      <c r="I5" s="543"/>
      <c r="J5" s="543"/>
      <c r="K5" s="127"/>
      <c r="L5" s="543">
        <v>2024</v>
      </c>
      <c r="M5" s="543"/>
      <c r="N5" s="543"/>
    </row>
    <row r="6" spans="1:36" s="57" customFormat="1" ht="9" customHeight="1" x14ac:dyDescent="0.3">
      <c r="A6" s="525"/>
      <c r="B6" s="125"/>
      <c r="C6" s="126"/>
      <c r="D6" s="543"/>
      <c r="E6" s="543"/>
      <c r="F6" s="543"/>
      <c r="G6" s="127"/>
      <c r="H6" s="543"/>
      <c r="I6" s="543"/>
      <c r="J6" s="543"/>
      <c r="K6" s="127"/>
      <c r="L6" s="543"/>
      <c r="M6" s="543"/>
      <c r="N6" s="543"/>
    </row>
    <row r="7" spans="1:36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6" s="253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6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6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36" s="257" customFormat="1" ht="30" customHeight="1" x14ac:dyDescent="0.3">
      <c r="A11" s="254" t="s">
        <v>147</v>
      </c>
      <c r="B11" s="254"/>
      <c r="C11" s="255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</row>
    <row r="12" spans="1:36" s="257" customFormat="1" ht="30" customHeight="1" x14ac:dyDescent="0.3">
      <c r="A12" s="431" t="s">
        <v>146</v>
      </c>
      <c r="B12" s="254"/>
      <c r="C12" s="255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</row>
    <row r="13" spans="1:36" s="257" customFormat="1" ht="18.75" customHeight="1" x14ac:dyDescent="0.3">
      <c r="A13" s="258"/>
      <c r="B13" s="258"/>
      <c r="C13" s="255"/>
      <c r="D13" s="259"/>
      <c r="E13" s="260"/>
      <c r="F13" s="261"/>
      <c r="G13" s="261"/>
      <c r="H13" s="259"/>
      <c r="I13" s="260"/>
      <c r="J13" s="261"/>
      <c r="K13" s="261"/>
      <c r="L13" s="259"/>
      <c r="M13" s="260"/>
      <c r="N13" s="261"/>
    </row>
    <row r="14" spans="1:36" s="263" customFormat="1" ht="30" customHeight="1" x14ac:dyDescent="0.3">
      <c r="A14" s="542" t="s">
        <v>116</v>
      </c>
      <c r="B14" s="542"/>
      <c r="C14" s="542"/>
      <c r="D14" s="537">
        <v>96.45</v>
      </c>
      <c r="E14" s="537">
        <v>97.09</v>
      </c>
      <c r="F14" s="537">
        <v>95.83</v>
      </c>
      <c r="G14" s="262"/>
      <c r="H14" s="537">
        <v>96.62</v>
      </c>
      <c r="I14" s="537">
        <v>97.08</v>
      </c>
      <c r="J14" s="537">
        <v>96.18</v>
      </c>
      <c r="K14" s="262"/>
      <c r="L14" s="537">
        <v>97.07</v>
      </c>
      <c r="M14" s="537">
        <v>97.3</v>
      </c>
      <c r="N14" s="537">
        <v>96.84</v>
      </c>
      <c r="Z14" s="264"/>
      <c r="AA14" s="264"/>
      <c r="AB14" s="264"/>
      <c r="AD14" s="264"/>
      <c r="AE14" s="264"/>
      <c r="AF14" s="264"/>
      <c r="AH14" s="264"/>
      <c r="AI14" s="264"/>
      <c r="AJ14" s="264"/>
    </row>
    <row r="15" spans="1:36" s="267" customFormat="1" ht="30" customHeight="1" x14ac:dyDescent="0.3">
      <c r="A15" s="440" t="s">
        <v>56</v>
      </c>
      <c r="B15" s="12"/>
      <c r="C15" s="265"/>
      <c r="D15" s="537"/>
      <c r="E15" s="537"/>
      <c r="F15" s="537"/>
      <c r="G15" s="266"/>
      <c r="H15" s="537"/>
      <c r="I15" s="537"/>
      <c r="J15" s="537"/>
      <c r="K15" s="266"/>
      <c r="L15" s="537"/>
      <c r="M15" s="537"/>
      <c r="N15" s="537"/>
    </row>
    <row r="16" spans="1:36" s="257" customFormat="1" ht="24.95" customHeight="1" x14ac:dyDescent="0.3">
      <c r="A16" s="268"/>
      <c r="B16" s="268"/>
      <c r="C16" s="255"/>
      <c r="D16" s="269"/>
      <c r="E16" s="269"/>
      <c r="F16" s="269"/>
      <c r="G16" s="270"/>
      <c r="H16" s="269"/>
      <c r="I16" s="269"/>
      <c r="J16" s="269"/>
      <c r="K16" s="270"/>
      <c r="L16" s="269"/>
      <c r="M16" s="269"/>
      <c r="N16" s="269"/>
    </row>
    <row r="17" spans="1:36" s="257" customFormat="1" ht="37.5" customHeight="1" x14ac:dyDescent="0.3">
      <c r="A17" s="541" t="s">
        <v>57</v>
      </c>
      <c r="B17" s="541"/>
      <c r="C17" s="541"/>
      <c r="D17" s="536">
        <v>99.28</v>
      </c>
      <c r="E17" s="536">
        <v>99.24</v>
      </c>
      <c r="F17" s="536">
        <v>99.32</v>
      </c>
      <c r="G17" s="270"/>
      <c r="H17" s="536">
        <v>99.09</v>
      </c>
      <c r="I17" s="536">
        <v>99.48</v>
      </c>
      <c r="J17" s="536">
        <v>98.7</v>
      </c>
      <c r="K17" s="270"/>
      <c r="L17" s="536">
        <v>99.54</v>
      </c>
      <c r="M17" s="536">
        <v>99.43</v>
      </c>
      <c r="N17" s="536">
        <v>99.65</v>
      </c>
      <c r="Z17" s="271"/>
      <c r="AA17" s="271"/>
      <c r="AB17" s="271"/>
      <c r="AC17" s="272"/>
      <c r="AD17" s="271"/>
      <c r="AE17" s="271"/>
      <c r="AF17" s="271"/>
      <c r="AG17" s="272"/>
      <c r="AH17" s="271"/>
      <c r="AI17" s="271"/>
      <c r="AJ17" s="271"/>
    </row>
    <row r="18" spans="1:36" s="274" customFormat="1" ht="37.5" customHeight="1" x14ac:dyDescent="0.3">
      <c r="A18" s="539" t="s">
        <v>58</v>
      </c>
      <c r="B18" s="539"/>
      <c r="C18" s="539"/>
      <c r="D18" s="536"/>
      <c r="E18" s="536"/>
      <c r="F18" s="536"/>
      <c r="G18" s="273"/>
      <c r="H18" s="536"/>
      <c r="I18" s="536"/>
      <c r="J18" s="536"/>
      <c r="K18" s="273"/>
      <c r="L18" s="536"/>
      <c r="M18" s="536"/>
      <c r="N18" s="536"/>
    </row>
    <row r="19" spans="1:36" s="257" customFormat="1" ht="24.95" customHeight="1" x14ac:dyDescent="0.3">
      <c r="A19" s="268"/>
      <c r="B19" s="268"/>
      <c r="C19" s="255"/>
      <c r="D19" s="269"/>
      <c r="E19" s="269"/>
      <c r="F19" s="269"/>
      <c r="G19" s="270"/>
      <c r="H19" s="269"/>
      <c r="I19" s="269"/>
      <c r="J19" s="269"/>
      <c r="K19" s="270"/>
      <c r="L19" s="269"/>
      <c r="M19" s="269"/>
      <c r="N19" s="269"/>
    </row>
    <row r="20" spans="1:36" s="263" customFormat="1" ht="37.5" customHeight="1" x14ac:dyDescent="0.3">
      <c r="A20" s="542" t="s">
        <v>214</v>
      </c>
      <c r="B20" s="542"/>
      <c r="C20" s="542"/>
      <c r="D20" s="538">
        <v>18.887722415139034</v>
      </c>
      <c r="E20" s="538">
        <v>24.922584258975469</v>
      </c>
      <c r="F20" s="538">
        <v>12.621535017448368</v>
      </c>
      <c r="G20" s="262"/>
      <c r="H20" s="538">
        <v>18.640689160710018</v>
      </c>
      <c r="I20" s="538">
        <v>22.057138553730791</v>
      </c>
      <c r="J20" s="538">
        <v>15.157116451016636</v>
      </c>
      <c r="K20" s="262"/>
      <c r="L20" s="538">
        <v>27.95</v>
      </c>
      <c r="M20" s="538">
        <v>21.01</v>
      </c>
      <c r="N20" s="538">
        <v>15</v>
      </c>
      <c r="Z20" s="264"/>
      <c r="AA20" s="264"/>
      <c r="AB20" s="264"/>
      <c r="AD20" s="264"/>
      <c r="AE20" s="264"/>
      <c r="AF20" s="264"/>
      <c r="AH20" s="264"/>
      <c r="AI20" s="264"/>
      <c r="AJ20" s="264"/>
    </row>
    <row r="21" spans="1:36" s="267" customFormat="1" ht="30" customHeight="1" x14ac:dyDescent="0.3">
      <c r="A21" s="540" t="s">
        <v>59</v>
      </c>
      <c r="B21" s="540"/>
      <c r="C21" s="540"/>
      <c r="D21" s="538"/>
      <c r="E21" s="538"/>
      <c r="F21" s="538"/>
      <c r="G21" s="266"/>
      <c r="H21" s="538"/>
      <c r="I21" s="538"/>
      <c r="J21" s="538"/>
      <c r="K21" s="266"/>
      <c r="L21" s="538"/>
      <c r="M21" s="538"/>
      <c r="N21" s="538"/>
    </row>
    <row r="22" spans="1:36" s="257" customFormat="1" ht="24.95" customHeight="1" x14ac:dyDescent="0.3">
      <c r="C22" s="255"/>
      <c r="D22" s="269"/>
      <c r="E22" s="269"/>
      <c r="F22" s="269"/>
      <c r="G22" s="270"/>
      <c r="H22" s="269"/>
      <c r="I22" s="269"/>
      <c r="J22" s="269"/>
      <c r="K22" s="270"/>
      <c r="L22" s="269"/>
      <c r="M22" s="269"/>
      <c r="N22" s="269"/>
    </row>
    <row r="23" spans="1:36" s="257" customFormat="1" ht="30" customHeight="1" x14ac:dyDescent="0.3">
      <c r="A23" s="178" t="s">
        <v>237</v>
      </c>
      <c r="B23" s="178"/>
      <c r="C23" s="255"/>
      <c r="D23" s="536"/>
      <c r="E23" s="536"/>
      <c r="F23" s="536"/>
      <c r="G23" s="270"/>
      <c r="H23" s="536"/>
      <c r="I23" s="536"/>
      <c r="J23" s="536"/>
      <c r="K23" s="270"/>
      <c r="L23" s="536"/>
      <c r="M23" s="536"/>
      <c r="N23" s="536"/>
    </row>
    <row r="24" spans="1:36" s="274" customFormat="1" ht="30" customHeight="1" x14ac:dyDescent="0.3">
      <c r="A24" s="441" t="s">
        <v>60</v>
      </c>
      <c r="B24" s="13"/>
      <c r="C24" s="275"/>
      <c r="D24" s="536"/>
      <c r="E24" s="536"/>
      <c r="F24" s="536"/>
      <c r="G24" s="273"/>
      <c r="H24" s="536"/>
      <c r="I24" s="536"/>
      <c r="J24" s="536"/>
      <c r="K24" s="273"/>
      <c r="L24" s="536"/>
      <c r="M24" s="536"/>
      <c r="N24" s="536"/>
    </row>
    <row r="25" spans="1:36" s="257" customFormat="1" ht="24.95" customHeight="1" x14ac:dyDescent="0.3">
      <c r="C25" s="255"/>
      <c r="D25" s="269"/>
      <c r="E25" s="269"/>
      <c r="F25" s="269"/>
      <c r="G25" s="270"/>
      <c r="H25" s="269"/>
      <c r="I25" s="269"/>
      <c r="J25" s="269"/>
      <c r="K25" s="270"/>
      <c r="L25" s="269"/>
      <c r="M25" s="269"/>
      <c r="N25" s="269"/>
    </row>
    <row r="26" spans="1:36" s="263" customFormat="1" ht="30" customHeight="1" x14ac:dyDescent="0.3">
      <c r="A26" s="276" t="s">
        <v>117</v>
      </c>
      <c r="B26" s="277"/>
      <c r="C26" s="278"/>
      <c r="D26" s="537">
        <v>99.34</v>
      </c>
      <c r="E26" s="537">
        <v>100.08</v>
      </c>
      <c r="F26" s="537">
        <v>98.65</v>
      </c>
      <c r="G26" s="262"/>
      <c r="H26" s="537">
        <v>99.38</v>
      </c>
      <c r="I26" s="537">
        <v>100.18</v>
      </c>
      <c r="J26" s="537">
        <v>98.62</v>
      </c>
      <c r="K26" s="262"/>
      <c r="L26" s="537">
        <v>99.19</v>
      </c>
      <c r="M26" s="537">
        <v>100.67</v>
      </c>
      <c r="N26" s="537">
        <v>97.81</v>
      </c>
      <c r="Z26" s="264"/>
      <c r="AA26" s="264"/>
      <c r="AB26" s="264"/>
      <c r="AD26" s="264"/>
      <c r="AE26" s="264"/>
      <c r="AF26" s="264"/>
      <c r="AH26" s="264"/>
      <c r="AI26" s="264"/>
      <c r="AJ26" s="264"/>
    </row>
    <row r="27" spans="1:36" s="267" customFormat="1" ht="30" customHeight="1" x14ac:dyDescent="0.3">
      <c r="A27" s="440" t="s">
        <v>118</v>
      </c>
      <c r="B27" s="279"/>
      <c r="C27" s="280"/>
      <c r="D27" s="537"/>
      <c r="E27" s="537"/>
      <c r="F27" s="537"/>
      <c r="G27" s="266"/>
      <c r="H27" s="537"/>
      <c r="I27" s="537"/>
      <c r="J27" s="537"/>
      <c r="K27" s="266"/>
      <c r="L27" s="537"/>
      <c r="M27" s="537"/>
      <c r="N27" s="537"/>
    </row>
    <row r="28" spans="1:36" s="257" customFormat="1" ht="24.95" customHeight="1" x14ac:dyDescent="0.3">
      <c r="A28" s="268"/>
      <c r="B28" s="268"/>
      <c r="C28" s="255"/>
      <c r="D28" s="269"/>
      <c r="E28" s="269"/>
      <c r="F28" s="269"/>
      <c r="G28" s="270"/>
      <c r="H28" s="269"/>
      <c r="I28" s="269"/>
      <c r="J28" s="269"/>
      <c r="K28" s="270"/>
      <c r="L28" s="269"/>
      <c r="M28" s="269"/>
      <c r="N28" s="269"/>
    </row>
    <row r="29" spans="1:36" s="257" customFormat="1" ht="30" customHeight="1" x14ac:dyDescent="0.3">
      <c r="A29" s="281" t="s">
        <v>119</v>
      </c>
      <c r="B29" s="282"/>
      <c r="C29" s="255"/>
      <c r="D29" s="536">
        <v>96.16</v>
      </c>
      <c r="E29" s="536">
        <v>97.09</v>
      </c>
      <c r="F29" s="536">
        <v>95.24</v>
      </c>
      <c r="G29" s="283"/>
      <c r="H29" s="536">
        <v>95.11</v>
      </c>
      <c r="I29" s="536">
        <v>97.07</v>
      </c>
      <c r="J29" s="536">
        <v>93.22</v>
      </c>
      <c r="K29" s="283"/>
      <c r="L29" s="536">
        <v>98.33</v>
      </c>
      <c r="M29" s="536">
        <v>98.61</v>
      </c>
      <c r="N29" s="536">
        <v>98.06</v>
      </c>
      <c r="Z29" s="271"/>
      <c r="AA29" s="271"/>
      <c r="AB29" s="271"/>
      <c r="AC29" s="272"/>
      <c r="AD29" s="271"/>
      <c r="AE29" s="271"/>
      <c r="AF29" s="271"/>
      <c r="AG29" s="272"/>
      <c r="AH29" s="271"/>
      <c r="AI29" s="271"/>
      <c r="AJ29" s="271"/>
    </row>
    <row r="30" spans="1:36" s="274" customFormat="1" ht="30" customHeight="1" x14ac:dyDescent="0.3">
      <c r="A30" s="442" t="s">
        <v>120</v>
      </c>
      <c r="B30" s="284"/>
      <c r="C30" s="275"/>
      <c r="D30" s="536"/>
      <c r="E30" s="536"/>
      <c r="F30" s="536"/>
      <c r="G30" s="285"/>
      <c r="H30" s="536"/>
      <c r="I30" s="536"/>
      <c r="J30" s="536"/>
      <c r="K30" s="285"/>
      <c r="L30" s="536"/>
      <c r="M30" s="536"/>
      <c r="N30" s="536"/>
      <c r="O30" s="286"/>
      <c r="P30" s="286"/>
      <c r="Q30" s="286"/>
      <c r="R30" s="286"/>
      <c r="S30" s="286"/>
      <c r="T30" s="286"/>
    </row>
    <row r="31" spans="1:36" s="274" customFormat="1" ht="18.75" customHeight="1" thickBot="1" x14ac:dyDescent="0.35">
      <c r="A31" s="287"/>
      <c r="B31" s="287"/>
      <c r="C31" s="288"/>
      <c r="D31" s="289"/>
      <c r="E31" s="288"/>
      <c r="F31" s="289"/>
      <c r="G31" s="290"/>
      <c r="H31" s="289"/>
      <c r="I31" s="291"/>
      <c r="J31" s="288"/>
      <c r="K31" s="290"/>
      <c r="L31" s="289"/>
      <c r="M31" s="291"/>
      <c r="N31" s="288"/>
      <c r="O31" s="286"/>
      <c r="P31" s="286"/>
      <c r="Q31" s="286"/>
      <c r="R31" s="286"/>
      <c r="S31" s="286"/>
      <c r="T31" s="286"/>
    </row>
    <row r="32" spans="1:36" ht="18.75" customHeight="1" x14ac:dyDescent="0.3">
      <c r="E32" s="57"/>
      <c r="F32" s="58"/>
      <c r="G32" s="59"/>
      <c r="I32" s="156"/>
      <c r="J32" s="55"/>
      <c r="K32" s="59"/>
      <c r="M32" s="156"/>
      <c r="N32" s="55" t="s">
        <v>21</v>
      </c>
      <c r="O32" s="4"/>
      <c r="P32" s="4"/>
      <c r="Q32" s="4"/>
      <c r="R32" s="4"/>
      <c r="S32" s="292"/>
      <c r="T32" s="4"/>
    </row>
    <row r="33" spans="1:20" ht="18.75" customHeight="1" x14ac:dyDescent="0.3">
      <c r="A33" s="63" t="s">
        <v>278</v>
      </c>
      <c r="E33" s="57"/>
      <c r="F33" s="58"/>
      <c r="G33" s="59"/>
      <c r="I33" s="156"/>
      <c r="J33" s="2"/>
      <c r="K33" s="59"/>
      <c r="M33" s="156"/>
      <c r="N33" s="421" t="s">
        <v>22</v>
      </c>
      <c r="O33" s="4"/>
      <c r="P33" s="4"/>
      <c r="Q33" s="4"/>
      <c r="R33" s="4"/>
      <c r="S33" s="4"/>
      <c r="T33" s="4"/>
    </row>
    <row r="34" spans="1:20" ht="18.75" customHeight="1" x14ac:dyDescent="0.3">
      <c r="A34" s="63" t="s">
        <v>238</v>
      </c>
      <c r="B34" s="63"/>
      <c r="C34" s="63"/>
      <c r="D34" s="63"/>
      <c r="E34" s="293"/>
      <c r="F34" s="294"/>
      <c r="G34" s="59"/>
      <c r="H34" s="63"/>
      <c r="I34" s="156"/>
      <c r="J34" s="55"/>
      <c r="K34" s="59"/>
      <c r="L34" s="63"/>
      <c r="M34" s="156"/>
      <c r="N34" s="55"/>
      <c r="O34" s="4"/>
      <c r="P34" s="4"/>
      <c r="Q34" s="4"/>
      <c r="R34" s="4"/>
      <c r="S34" s="4"/>
      <c r="T34" s="4"/>
    </row>
    <row r="35" spans="1:20" ht="18.75" customHeight="1" x14ac:dyDescent="0.3">
      <c r="A35" s="443" t="s">
        <v>156</v>
      </c>
      <c r="B35" s="63"/>
      <c r="C35" s="63"/>
      <c r="D35" s="63"/>
      <c r="E35" s="57"/>
      <c r="F35" s="58"/>
      <c r="H35" s="63"/>
      <c r="L35" s="63"/>
    </row>
    <row r="36" spans="1:20" x14ac:dyDescent="0.3">
      <c r="A36" s="257"/>
    </row>
    <row r="37" spans="1:20" x14ac:dyDescent="0.3">
      <c r="A37" s="13"/>
    </row>
  </sheetData>
  <mergeCells count="66">
    <mergeCell ref="A5:A8"/>
    <mergeCell ref="L5:N5"/>
    <mergeCell ref="D5:F5"/>
    <mergeCell ref="F14:F15"/>
    <mergeCell ref="D14:D15"/>
    <mergeCell ref="E14:E15"/>
    <mergeCell ref="A14:C14"/>
    <mergeCell ref="L14:L15"/>
    <mergeCell ref="M14:M15"/>
    <mergeCell ref="N14:N15"/>
    <mergeCell ref="D6:F6"/>
    <mergeCell ref="H6:J6"/>
    <mergeCell ref="L6:N6"/>
    <mergeCell ref="H5:J5"/>
    <mergeCell ref="H14:H15"/>
    <mergeCell ref="I14:I15"/>
    <mergeCell ref="D26:D27"/>
    <mergeCell ref="L26:L27"/>
    <mergeCell ref="A18:C18"/>
    <mergeCell ref="A21:C21"/>
    <mergeCell ref="A17:C17"/>
    <mergeCell ref="A20:C20"/>
    <mergeCell ref="H20:H21"/>
    <mergeCell ref="F20:F21"/>
    <mergeCell ref="E20:E21"/>
    <mergeCell ref="D20:D21"/>
    <mergeCell ref="H17:H18"/>
    <mergeCell ref="F17:F18"/>
    <mergeCell ref="E17:E18"/>
    <mergeCell ref="D17:D18"/>
    <mergeCell ref="F26:F27"/>
    <mergeCell ref="N20:N21"/>
    <mergeCell ref="M20:M21"/>
    <mergeCell ref="L20:L21"/>
    <mergeCell ref="J20:J21"/>
    <mergeCell ref="I20:I21"/>
    <mergeCell ref="H29:H30"/>
    <mergeCell ref="F29:F30"/>
    <mergeCell ref="E29:E30"/>
    <mergeCell ref="J14:J15"/>
    <mergeCell ref="H26:H27"/>
    <mergeCell ref="I26:I27"/>
    <mergeCell ref="J26:J27"/>
    <mergeCell ref="J29:J30"/>
    <mergeCell ref="I29:I30"/>
    <mergeCell ref="D29:D30"/>
    <mergeCell ref="N23:N24"/>
    <mergeCell ref="M23:M24"/>
    <mergeCell ref="L23:L24"/>
    <mergeCell ref="J23:J24"/>
    <mergeCell ref="I23:I24"/>
    <mergeCell ref="H23:H24"/>
    <mergeCell ref="F23:F24"/>
    <mergeCell ref="E23:E24"/>
    <mergeCell ref="D23:D24"/>
    <mergeCell ref="N29:N30"/>
    <mergeCell ref="M29:M30"/>
    <mergeCell ref="L29:L30"/>
    <mergeCell ref="M26:M27"/>
    <mergeCell ref="N26:N27"/>
    <mergeCell ref="E26:E27"/>
    <mergeCell ref="N17:N18"/>
    <mergeCell ref="M17:M18"/>
    <mergeCell ref="L17:L18"/>
    <mergeCell ref="J17:J18"/>
    <mergeCell ref="I17:I18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tabColor rgb="FFEE6EE8"/>
  </sheetPr>
  <dimension ref="A1:Y69"/>
  <sheetViews>
    <sheetView tabSelected="1" view="pageBreakPreview" topLeftCell="A31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31.140625" style="18" customWidth="1"/>
    <col min="4" max="4" width="20" style="18" customWidth="1"/>
    <col min="5" max="5" width="1.7109375" style="18" customWidth="1"/>
    <col min="6" max="6" width="20" style="18" customWidth="1"/>
    <col min="7" max="7" width="1.7109375" style="18" customWidth="1"/>
    <col min="8" max="8" width="20" style="20" customWidth="1"/>
    <col min="9" max="9" width="1.7109375" style="20" customWidth="1"/>
    <col min="10" max="10" width="20" style="110" customWidth="1"/>
    <col min="11" max="11" width="1.7109375" style="18" customWidth="1"/>
    <col min="12" max="12" width="20" style="20" customWidth="1"/>
    <col min="13" max="13" width="1.7109375" style="20" customWidth="1"/>
    <col min="14" max="14" width="20" style="110" customWidth="1"/>
    <col min="15" max="15" width="12.42578125" style="18"/>
    <col min="16" max="16" width="7" style="18" customWidth="1"/>
    <col min="17" max="17" width="12.42578125" style="18"/>
    <col min="18" max="18" width="5.140625" style="18" customWidth="1"/>
    <col min="19" max="19" width="12.42578125" style="18"/>
    <col min="20" max="20" width="6.5703125" style="18" bestFit="1" customWidth="1"/>
    <col min="21" max="16384" width="12.42578125" style="18"/>
  </cols>
  <sheetData>
    <row r="1" spans="1:25" s="71" customFormat="1" ht="18.75" customHeight="1" x14ac:dyDescent="0.3">
      <c r="A1" s="118" t="s">
        <v>109</v>
      </c>
      <c r="B1" s="118" t="s">
        <v>80</v>
      </c>
      <c r="C1" s="524" t="s">
        <v>201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25" s="427" customFormat="1" ht="18.75" customHeight="1" x14ac:dyDescent="0.3">
      <c r="A2" s="426" t="s">
        <v>110</v>
      </c>
      <c r="B2" s="426" t="s">
        <v>80</v>
      </c>
      <c r="C2" s="426" t="s">
        <v>202</v>
      </c>
      <c r="D2" s="426"/>
      <c r="E2" s="426"/>
      <c r="F2" s="426"/>
      <c r="G2" s="426"/>
      <c r="H2" s="435"/>
      <c r="I2" s="435"/>
      <c r="J2" s="435"/>
      <c r="K2" s="426"/>
      <c r="L2" s="435"/>
      <c r="M2" s="435"/>
      <c r="N2" s="435"/>
    </row>
    <row r="3" spans="1:25" s="21" customFormat="1" ht="11.25" customHeight="1" thickBot="1" x14ac:dyDescent="0.35">
      <c r="H3" s="22"/>
      <c r="I3" s="22"/>
      <c r="J3" s="72"/>
      <c r="L3" s="22"/>
      <c r="M3" s="22"/>
      <c r="N3" s="72"/>
    </row>
    <row r="4" spans="1:25" s="21" customFormat="1" ht="9" customHeight="1" x14ac:dyDescent="0.3">
      <c r="A4" s="23"/>
      <c r="B4" s="23"/>
      <c r="C4" s="23"/>
      <c r="D4" s="26"/>
      <c r="E4" s="26"/>
      <c r="F4" s="26"/>
      <c r="G4" s="26"/>
      <c r="H4" s="25"/>
      <c r="I4" s="25"/>
      <c r="J4" s="73"/>
      <c r="K4" s="26"/>
      <c r="L4" s="25"/>
      <c r="M4" s="25"/>
      <c r="N4" s="73"/>
    </row>
    <row r="5" spans="1:25" s="21" customFormat="1" ht="18.75" customHeight="1" x14ac:dyDescent="0.3">
      <c r="A5" s="518" t="s">
        <v>261</v>
      </c>
      <c r="B5" s="518"/>
      <c r="C5" s="518"/>
      <c r="D5" s="517">
        <v>2022</v>
      </c>
      <c r="E5" s="517"/>
      <c r="F5" s="517"/>
      <c r="G5" s="74"/>
      <c r="H5" s="517">
        <v>2023</v>
      </c>
      <c r="I5" s="517"/>
      <c r="J5" s="517"/>
      <c r="K5" s="74"/>
      <c r="L5" s="517">
        <v>2024</v>
      </c>
      <c r="M5" s="517"/>
      <c r="N5" s="517"/>
    </row>
    <row r="6" spans="1:25" s="21" customFormat="1" ht="9" customHeight="1" x14ac:dyDescent="0.3">
      <c r="A6" s="518"/>
      <c r="B6" s="518"/>
      <c r="C6" s="518"/>
      <c r="D6" s="520"/>
      <c r="E6" s="520"/>
      <c r="F6" s="520"/>
      <c r="G6" s="74"/>
      <c r="H6" s="520"/>
      <c r="I6" s="520"/>
      <c r="J6" s="520"/>
      <c r="K6" s="74"/>
      <c r="L6" s="520"/>
      <c r="M6" s="520"/>
      <c r="N6" s="520"/>
    </row>
    <row r="7" spans="1:25" s="21" customFormat="1" ht="9" customHeight="1" x14ac:dyDescent="0.3">
      <c r="A7" s="518"/>
      <c r="B7" s="518"/>
      <c r="C7" s="518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25" s="21" customFormat="1" ht="97.5" customHeight="1" x14ac:dyDescent="0.3">
      <c r="A8" s="518"/>
      <c r="B8" s="518"/>
      <c r="C8" s="518"/>
      <c r="D8" s="211" t="s">
        <v>262</v>
      </c>
      <c r="E8" s="77"/>
      <c r="F8" s="77" t="s">
        <v>263</v>
      </c>
      <c r="G8" s="77"/>
      <c r="H8" s="211" t="s">
        <v>262</v>
      </c>
      <c r="I8" s="77"/>
      <c r="J8" s="77" t="s">
        <v>263</v>
      </c>
      <c r="K8" s="77"/>
      <c r="L8" s="211" t="s">
        <v>262</v>
      </c>
      <c r="M8" s="77"/>
      <c r="N8" s="77" t="s">
        <v>263</v>
      </c>
    </row>
    <row r="9" spans="1:25" s="21" customFormat="1" ht="9" customHeight="1" thickBot="1" x14ac:dyDescent="0.35">
      <c r="A9" s="31"/>
      <c r="B9" s="31"/>
      <c r="C9" s="78"/>
      <c r="D9" s="78"/>
      <c r="E9" s="78"/>
      <c r="F9" s="78"/>
      <c r="G9" s="78"/>
      <c r="H9" s="31"/>
      <c r="I9" s="31"/>
      <c r="J9" s="79"/>
      <c r="K9" s="78"/>
      <c r="L9" s="31"/>
      <c r="M9" s="31"/>
      <c r="N9" s="79"/>
    </row>
    <row r="10" spans="1:25" ht="18.75" customHeight="1" x14ac:dyDescent="0.3">
      <c r="A10" s="34"/>
      <c r="B10" s="34"/>
      <c r="C10" s="21"/>
      <c r="D10" s="21"/>
      <c r="E10" s="21"/>
      <c r="F10" s="21"/>
      <c r="G10" s="21"/>
      <c r="H10" s="34"/>
      <c r="I10" s="34"/>
      <c r="J10" s="72"/>
      <c r="K10" s="21"/>
      <c r="L10" s="34"/>
      <c r="M10" s="34"/>
      <c r="N10" s="72"/>
    </row>
    <row r="11" spans="1:25" s="39" customFormat="1" ht="30" customHeight="1" x14ac:dyDescent="0.3">
      <c r="A11" s="68" t="s">
        <v>244</v>
      </c>
      <c r="B11" s="68"/>
      <c r="C11" s="182"/>
      <c r="D11" s="136">
        <v>405958</v>
      </c>
      <c r="E11" s="136"/>
      <c r="F11" s="136">
        <v>275684</v>
      </c>
      <c r="G11" s="183"/>
      <c r="H11" s="136">
        <v>404620</v>
      </c>
      <c r="I11" s="136"/>
      <c r="J11" s="136">
        <v>301225</v>
      </c>
      <c r="K11" s="231"/>
      <c r="L11" s="136">
        <v>413872</v>
      </c>
      <c r="M11" s="136"/>
      <c r="N11" s="136">
        <v>345845</v>
      </c>
      <c r="P11" s="217"/>
      <c r="R11" s="217"/>
      <c r="T11" s="232"/>
      <c r="V11" s="193"/>
      <c r="W11" s="193"/>
      <c r="X11" s="217"/>
      <c r="Y11" s="217"/>
    </row>
    <row r="12" spans="1:25" s="39" customFormat="1" ht="18.75" customHeight="1" x14ac:dyDescent="0.3">
      <c r="A12" s="84"/>
      <c r="B12" s="84"/>
      <c r="C12" s="85"/>
      <c r="D12" s="233"/>
      <c r="E12" s="233"/>
      <c r="F12" s="233"/>
      <c r="G12" s="234"/>
      <c r="H12" s="233"/>
      <c r="I12" s="233"/>
      <c r="J12" s="233"/>
      <c r="K12" s="235"/>
      <c r="L12" s="169"/>
      <c r="M12" s="169"/>
      <c r="N12" s="169"/>
    </row>
    <row r="13" spans="1:25" s="91" customFormat="1" ht="30" customHeight="1" x14ac:dyDescent="0.3">
      <c r="A13" s="509" t="s">
        <v>159</v>
      </c>
      <c r="B13" s="509"/>
      <c r="C13" s="509"/>
      <c r="D13" s="545" t="s">
        <v>161</v>
      </c>
      <c r="E13" s="236"/>
      <c r="F13" s="545" t="s">
        <v>161</v>
      </c>
      <c r="G13" s="237"/>
      <c r="H13" s="545">
        <v>4313</v>
      </c>
      <c r="I13" s="238"/>
      <c r="J13" s="545">
        <v>17787</v>
      </c>
      <c r="K13" s="239"/>
      <c r="L13" s="545">
        <v>5032</v>
      </c>
      <c r="M13" s="240"/>
      <c r="N13" s="545">
        <v>20233</v>
      </c>
      <c r="P13" s="215"/>
      <c r="R13" s="215"/>
      <c r="T13" s="216"/>
      <c r="V13" s="216"/>
      <c r="W13" s="216"/>
      <c r="X13" s="215"/>
      <c r="Y13" s="215"/>
    </row>
    <row r="14" spans="1:25" s="94" customFormat="1" ht="30" customHeight="1" x14ac:dyDescent="0.3">
      <c r="A14" s="433" t="s">
        <v>160</v>
      </c>
      <c r="B14" s="9"/>
      <c r="C14" s="192"/>
      <c r="D14" s="545"/>
      <c r="E14" s="238"/>
      <c r="F14" s="545"/>
      <c r="G14" s="237"/>
      <c r="H14" s="545"/>
      <c r="I14" s="238"/>
      <c r="J14" s="545"/>
      <c r="K14" s="239"/>
      <c r="L14" s="545"/>
      <c r="M14" s="240"/>
      <c r="N14" s="545"/>
    </row>
    <row r="15" spans="1:25" s="46" customFormat="1" ht="30" customHeight="1" x14ac:dyDescent="0.3">
      <c r="A15" s="190" t="s">
        <v>37</v>
      </c>
      <c r="B15" s="190"/>
      <c r="C15" s="85"/>
      <c r="D15" s="544">
        <v>2168</v>
      </c>
      <c r="E15" s="233"/>
      <c r="F15" s="544">
        <v>17709</v>
      </c>
      <c r="G15" s="241"/>
      <c r="H15" s="544" t="s">
        <v>161</v>
      </c>
      <c r="I15" s="233"/>
      <c r="J15" s="544" t="s">
        <v>161</v>
      </c>
      <c r="K15" s="242"/>
      <c r="L15" s="544" t="s">
        <v>161</v>
      </c>
      <c r="M15" s="169"/>
      <c r="N15" s="544" t="s">
        <v>161</v>
      </c>
      <c r="P15" s="217"/>
      <c r="R15" s="217"/>
      <c r="T15" s="193"/>
      <c r="V15" s="193"/>
      <c r="W15" s="193"/>
      <c r="X15" s="217"/>
      <c r="Y15" s="217"/>
    </row>
    <row r="16" spans="1:25" s="103" customFormat="1" ht="30" customHeight="1" x14ac:dyDescent="0.3">
      <c r="A16" s="504" t="s">
        <v>38</v>
      </c>
      <c r="B16" s="504"/>
      <c r="C16" s="504"/>
      <c r="D16" s="544"/>
      <c r="E16" s="233"/>
      <c r="F16" s="544"/>
      <c r="G16" s="241"/>
      <c r="H16" s="544"/>
      <c r="I16" s="233"/>
      <c r="J16" s="544"/>
      <c r="K16" s="242"/>
      <c r="L16" s="544"/>
      <c r="M16" s="169"/>
      <c r="N16" s="544"/>
      <c r="P16" s="217"/>
    </row>
    <row r="17" spans="1:25" s="91" customFormat="1" ht="30" customHeight="1" x14ac:dyDescent="0.3">
      <c r="A17" s="509" t="s">
        <v>39</v>
      </c>
      <c r="B17" s="509"/>
      <c r="C17" s="509"/>
      <c r="D17" s="545">
        <v>36352</v>
      </c>
      <c r="E17" s="238"/>
      <c r="F17" s="545">
        <v>38007</v>
      </c>
      <c r="G17" s="237"/>
      <c r="H17" s="545">
        <v>31580</v>
      </c>
      <c r="I17" s="238"/>
      <c r="J17" s="545">
        <v>46921</v>
      </c>
      <c r="K17" s="239"/>
      <c r="L17" s="545">
        <v>32318</v>
      </c>
      <c r="M17" s="240"/>
      <c r="N17" s="545">
        <v>66593</v>
      </c>
      <c r="P17" s="215"/>
      <c r="R17" s="215"/>
      <c r="T17" s="216"/>
      <c r="V17" s="216"/>
      <c r="W17" s="216"/>
      <c r="X17" s="215"/>
      <c r="Y17" s="215"/>
    </row>
    <row r="18" spans="1:25" s="94" customFormat="1" ht="30" customHeight="1" x14ac:dyDescent="0.3">
      <c r="A18" s="433" t="s">
        <v>40</v>
      </c>
      <c r="B18" s="9"/>
      <c r="C18" s="192"/>
      <c r="D18" s="545"/>
      <c r="E18" s="238"/>
      <c r="F18" s="545"/>
      <c r="G18" s="237"/>
      <c r="H18" s="545"/>
      <c r="I18" s="238"/>
      <c r="J18" s="545"/>
      <c r="K18" s="239"/>
      <c r="L18" s="545"/>
      <c r="M18" s="240"/>
      <c r="N18" s="545"/>
    </row>
    <row r="19" spans="1:25" s="46" customFormat="1" ht="30" customHeight="1" x14ac:dyDescent="0.3">
      <c r="A19" s="190" t="s">
        <v>41</v>
      </c>
      <c r="B19" s="190"/>
      <c r="C19" s="85"/>
      <c r="D19" s="544">
        <v>37651</v>
      </c>
      <c r="E19" s="233"/>
      <c r="F19" s="544">
        <v>22730</v>
      </c>
      <c r="G19" s="241"/>
      <c r="H19" s="544">
        <v>41081</v>
      </c>
      <c r="I19" s="233"/>
      <c r="J19" s="544">
        <v>25157</v>
      </c>
      <c r="K19" s="242"/>
      <c r="L19" s="544">
        <v>42214</v>
      </c>
      <c r="M19" s="169"/>
      <c r="N19" s="544">
        <v>27149</v>
      </c>
      <c r="P19" s="217"/>
      <c r="R19" s="217"/>
      <c r="T19" s="193"/>
      <c r="V19" s="193"/>
      <c r="W19" s="193"/>
      <c r="X19" s="217"/>
      <c r="Y19" s="217"/>
    </row>
    <row r="20" spans="1:25" s="46" customFormat="1" ht="30" customHeight="1" x14ac:dyDescent="0.3">
      <c r="A20" s="434" t="s">
        <v>42</v>
      </c>
      <c r="B20" s="8"/>
      <c r="C20" s="85"/>
      <c r="D20" s="544"/>
      <c r="E20" s="233"/>
      <c r="F20" s="544"/>
      <c r="G20" s="241"/>
      <c r="H20" s="544"/>
      <c r="I20" s="233"/>
      <c r="J20" s="544"/>
      <c r="K20" s="242"/>
      <c r="L20" s="544"/>
      <c r="M20" s="169"/>
      <c r="N20" s="544"/>
    </row>
    <row r="21" spans="1:25" s="94" customFormat="1" ht="30" customHeight="1" x14ac:dyDescent="0.3">
      <c r="A21" s="546" t="s">
        <v>162</v>
      </c>
      <c r="B21" s="546"/>
      <c r="C21" s="546"/>
      <c r="D21" s="545" t="s">
        <v>161</v>
      </c>
      <c r="E21" s="236"/>
      <c r="F21" s="545" t="s">
        <v>161</v>
      </c>
      <c r="G21" s="237"/>
      <c r="H21" s="545">
        <v>28952</v>
      </c>
      <c r="I21" s="238"/>
      <c r="J21" s="545">
        <v>17185</v>
      </c>
      <c r="K21" s="239"/>
      <c r="L21" s="545">
        <v>30586</v>
      </c>
      <c r="M21" s="240"/>
      <c r="N21" s="545">
        <v>19066</v>
      </c>
      <c r="P21" s="215"/>
      <c r="R21" s="215"/>
      <c r="T21" s="216"/>
      <c r="V21" s="216"/>
      <c r="W21" s="216"/>
      <c r="X21" s="215"/>
      <c r="Y21" s="215"/>
    </row>
    <row r="22" spans="1:25" s="218" customFormat="1" ht="30" customHeight="1" x14ac:dyDescent="0.3">
      <c r="A22" s="433" t="s">
        <v>163</v>
      </c>
      <c r="B22" s="9"/>
      <c r="C22" s="9"/>
      <c r="D22" s="545"/>
      <c r="E22" s="243"/>
      <c r="F22" s="545"/>
      <c r="G22" s="243"/>
      <c r="H22" s="545"/>
      <c r="I22" s="243"/>
      <c r="J22" s="545"/>
      <c r="K22" s="244"/>
      <c r="L22" s="545"/>
      <c r="M22" s="240"/>
      <c r="N22" s="545"/>
    </row>
    <row r="23" spans="1:25" s="97" customFormat="1" ht="30" customHeight="1" x14ac:dyDescent="0.3">
      <c r="A23" s="511" t="s">
        <v>121</v>
      </c>
      <c r="B23" s="511"/>
      <c r="C23" s="511"/>
      <c r="D23" s="544">
        <v>151367</v>
      </c>
      <c r="E23" s="233"/>
      <c r="F23" s="544">
        <v>116753</v>
      </c>
      <c r="G23" s="245"/>
      <c r="H23" s="544" t="s">
        <v>161</v>
      </c>
      <c r="I23" s="246"/>
      <c r="J23" s="544" t="s">
        <v>161</v>
      </c>
      <c r="K23" s="247"/>
      <c r="L23" s="544" t="s">
        <v>161</v>
      </c>
      <c r="M23" s="169"/>
      <c r="N23" s="544" t="s">
        <v>161</v>
      </c>
      <c r="P23" s="217"/>
      <c r="R23" s="217"/>
      <c r="T23" s="193"/>
      <c r="V23" s="193"/>
      <c r="W23" s="193"/>
      <c r="X23" s="217"/>
      <c r="Y23" s="217"/>
    </row>
    <row r="24" spans="1:25" s="95" customFormat="1" ht="30" customHeight="1" x14ac:dyDescent="0.3">
      <c r="A24" s="8" t="s">
        <v>43</v>
      </c>
      <c r="B24" s="8"/>
      <c r="C24" s="8"/>
      <c r="D24" s="544"/>
      <c r="E24" s="248"/>
      <c r="F24" s="544"/>
      <c r="G24" s="248"/>
      <c r="H24" s="544"/>
      <c r="I24" s="248"/>
      <c r="J24" s="544"/>
      <c r="K24" s="249"/>
      <c r="L24" s="544"/>
      <c r="M24" s="169"/>
      <c r="N24" s="544"/>
    </row>
    <row r="25" spans="1:25" s="94" customFormat="1" ht="30" customHeight="1" x14ac:dyDescent="0.3">
      <c r="A25" s="546" t="s">
        <v>164</v>
      </c>
      <c r="B25" s="546"/>
      <c r="C25" s="546"/>
      <c r="D25" s="545" t="s">
        <v>161</v>
      </c>
      <c r="E25" s="236"/>
      <c r="F25" s="545" t="s">
        <v>161</v>
      </c>
      <c r="G25" s="250"/>
      <c r="H25" s="545">
        <v>124653</v>
      </c>
      <c r="I25" s="238"/>
      <c r="J25" s="545">
        <v>108605</v>
      </c>
      <c r="K25" s="251"/>
      <c r="L25" s="545">
        <v>129905</v>
      </c>
      <c r="M25" s="240"/>
      <c r="N25" s="545">
        <v>117631</v>
      </c>
      <c r="P25" s="215"/>
      <c r="R25" s="215"/>
      <c r="T25" s="216"/>
      <c r="V25" s="216"/>
      <c r="W25" s="216"/>
      <c r="X25" s="215"/>
      <c r="Y25" s="215"/>
    </row>
    <row r="26" spans="1:25" s="94" customFormat="1" ht="30" customHeight="1" x14ac:dyDescent="0.3">
      <c r="A26" s="433" t="s">
        <v>165</v>
      </c>
      <c r="B26" s="219"/>
      <c r="C26" s="219"/>
      <c r="D26" s="545"/>
      <c r="E26" s="236"/>
      <c r="F26" s="545"/>
      <c r="G26" s="250"/>
      <c r="H26" s="545"/>
      <c r="I26" s="238"/>
      <c r="J26" s="545"/>
      <c r="K26" s="251"/>
      <c r="L26" s="545"/>
      <c r="M26" s="240"/>
      <c r="N26" s="545"/>
      <c r="P26" s="220"/>
    </row>
    <row r="27" spans="1:25" s="97" customFormat="1" ht="30" customHeight="1" x14ac:dyDescent="0.3">
      <c r="A27" s="511" t="s">
        <v>166</v>
      </c>
      <c r="B27" s="511"/>
      <c r="C27" s="511"/>
      <c r="D27" s="544" t="s">
        <v>161</v>
      </c>
      <c r="E27" s="246"/>
      <c r="F27" s="544" t="s">
        <v>161</v>
      </c>
      <c r="G27" s="245"/>
      <c r="H27" s="544">
        <v>37709</v>
      </c>
      <c r="I27" s="246"/>
      <c r="J27" s="544">
        <v>4729</v>
      </c>
      <c r="K27" s="247"/>
      <c r="L27" s="544">
        <v>36354</v>
      </c>
      <c r="M27" s="169"/>
      <c r="N27" s="544">
        <v>5444</v>
      </c>
      <c r="P27" s="217"/>
      <c r="R27" s="217"/>
      <c r="T27" s="193"/>
      <c r="V27" s="193"/>
      <c r="W27" s="193"/>
      <c r="X27" s="217"/>
      <c r="Y27" s="217"/>
    </row>
    <row r="28" spans="1:25" s="95" customFormat="1" ht="30" customHeight="1" x14ac:dyDescent="0.3">
      <c r="A28" s="434" t="s">
        <v>167</v>
      </c>
      <c r="B28" s="8"/>
      <c r="C28" s="8"/>
      <c r="D28" s="544"/>
      <c r="E28" s="248"/>
      <c r="F28" s="544"/>
      <c r="G28" s="248"/>
      <c r="H28" s="544"/>
      <c r="I28" s="248"/>
      <c r="J28" s="544"/>
      <c r="K28" s="249"/>
      <c r="L28" s="544"/>
      <c r="M28" s="169"/>
      <c r="N28" s="544"/>
    </row>
    <row r="29" spans="1:25" s="94" customFormat="1" ht="30" customHeight="1" x14ac:dyDescent="0.3">
      <c r="A29" s="546" t="s">
        <v>44</v>
      </c>
      <c r="B29" s="546"/>
      <c r="C29" s="546"/>
      <c r="D29" s="545">
        <v>59810</v>
      </c>
      <c r="E29" s="238"/>
      <c r="F29" s="545">
        <v>16020</v>
      </c>
      <c r="G29" s="250"/>
      <c r="H29" s="545" t="s">
        <v>161</v>
      </c>
      <c r="I29" s="238"/>
      <c r="J29" s="545" t="s">
        <v>161</v>
      </c>
      <c r="K29" s="251"/>
      <c r="L29" s="545"/>
      <c r="M29" s="240"/>
      <c r="N29" s="545"/>
      <c r="P29" s="215"/>
      <c r="R29" s="215"/>
      <c r="T29" s="216"/>
      <c r="V29" s="216"/>
      <c r="W29" s="216"/>
      <c r="X29" s="215"/>
      <c r="Y29" s="215"/>
    </row>
    <row r="30" spans="1:25" s="94" customFormat="1" ht="30" customHeight="1" x14ac:dyDescent="0.3">
      <c r="A30" s="510" t="s">
        <v>45</v>
      </c>
      <c r="B30" s="510"/>
      <c r="C30" s="510"/>
      <c r="D30" s="545"/>
      <c r="E30" s="238"/>
      <c r="F30" s="545"/>
      <c r="G30" s="250"/>
      <c r="H30" s="545"/>
      <c r="I30" s="238"/>
      <c r="J30" s="545"/>
      <c r="K30" s="251"/>
      <c r="L30" s="545"/>
      <c r="M30" s="240"/>
      <c r="N30" s="545"/>
      <c r="P30" s="220"/>
    </row>
    <row r="31" spans="1:25" s="39" customFormat="1" ht="30" customHeight="1" x14ac:dyDescent="0.3">
      <c r="A31" s="547" t="s">
        <v>168</v>
      </c>
      <c r="B31" s="547"/>
      <c r="C31" s="547"/>
      <c r="D31" s="544" t="s">
        <v>161</v>
      </c>
      <c r="E31" s="169"/>
      <c r="F31" s="544" t="s">
        <v>161</v>
      </c>
      <c r="G31" s="169"/>
      <c r="H31" s="544">
        <v>24240</v>
      </c>
      <c r="I31" s="169"/>
      <c r="J31" s="544">
        <v>15132</v>
      </c>
      <c r="K31" s="247"/>
      <c r="L31" s="544">
        <v>25416</v>
      </c>
      <c r="M31" s="169"/>
      <c r="N31" s="544">
        <v>17514</v>
      </c>
      <c r="P31" s="217"/>
      <c r="R31" s="217"/>
      <c r="T31" s="193"/>
      <c r="V31" s="193"/>
      <c r="W31" s="193"/>
      <c r="X31" s="217"/>
      <c r="Y31" s="217"/>
    </row>
    <row r="32" spans="1:25" s="39" customFormat="1" ht="30" customHeight="1" x14ac:dyDescent="0.3">
      <c r="A32" s="504" t="s">
        <v>169</v>
      </c>
      <c r="B32" s="504"/>
      <c r="C32" s="504"/>
      <c r="D32" s="544"/>
      <c r="E32" s="169"/>
      <c r="F32" s="544"/>
      <c r="G32" s="169"/>
      <c r="H32" s="544"/>
      <c r="I32" s="169"/>
      <c r="J32" s="544"/>
      <c r="K32" s="247"/>
      <c r="L32" s="544"/>
      <c r="M32" s="169"/>
      <c r="N32" s="544"/>
    </row>
    <row r="33" spans="1:25" s="91" customFormat="1" ht="30" customHeight="1" x14ac:dyDescent="0.3">
      <c r="A33" s="509" t="s">
        <v>63</v>
      </c>
      <c r="B33" s="509"/>
      <c r="C33" s="509"/>
      <c r="D33" s="545">
        <v>67504</v>
      </c>
      <c r="E33" s="240"/>
      <c r="F33" s="545">
        <v>12395</v>
      </c>
      <c r="G33" s="240"/>
      <c r="H33" s="545">
        <v>59947</v>
      </c>
      <c r="I33" s="240"/>
      <c r="J33" s="545">
        <v>11865</v>
      </c>
      <c r="K33" s="239"/>
      <c r="L33" s="545">
        <v>58120</v>
      </c>
      <c r="M33" s="240"/>
      <c r="N33" s="545">
        <v>13020</v>
      </c>
      <c r="P33" s="215"/>
      <c r="R33" s="215"/>
      <c r="T33" s="216"/>
      <c r="V33" s="216"/>
      <c r="W33" s="216"/>
      <c r="X33" s="215"/>
      <c r="Y33" s="215"/>
    </row>
    <row r="34" spans="1:25" s="91" customFormat="1" ht="30" customHeight="1" x14ac:dyDescent="0.3">
      <c r="A34" s="519" t="s">
        <v>64</v>
      </c>
      <c r="B34" s="519"/>
      <c r="C34" s="519"/>
      <c r="D34" s="545"/>
      <c r="E34" s="240"/>
      <c r="F34" s="545"/>
      <c r="G34" s="240"/>
      <c r="H34" s="545"/>
      <c r="I34" s="240"/>
      <c r="J34" s="545"/>
      <c r="K34" s="239"/>
      <c r="L34" s="545"/>
      <c r="M34" s="240"/>
      <c r="N34" s="545"/>
    </row>
    <row r="35" spans="1:25" s="46" customFormat="1" ht="30" customHeight="1" x14ac:dyDescent="0.3">
      <c r="A35" s="190" t="s">
        <v>46</v>
      </c>
      <c r="B35" s="190"/>
      <c r="C35" s="85"/>
      <c r="D35" s="544">
        <v>7002</v>
      </c>
      <c r="E35" s="233"/>
      <c r="F35" s="544">
        <v>308</v>
      </c>
      <c r="G35" s="245"/>
      <c r="H35" s="544" t="s">
        <v>161</v>
      </c>
      <c r="I35" s="233"/>
      <c r="J35" s="544" t="s">
        <v>161</v>
      </c>
      <c r="K35" s="247"/>
      <c r="L35" s="544" t="s">
        <v>161</v>
      </c>
      <c r="M35" s="169"/>
      <c r="N35" s="544" t="s">
        <v>161</v>
      </c>
      <c r="P35" s="217"/>
      <c r="R35" s="217"/>
      <c r="T35" s="193"/>
      <c r="V35" s="193"/>
      <c r="W35" s="193"/>
      <c r="X35" s="217"/>
      <c r="Y35" s="217"/>
    </row>
    <row r="36" spans="1:25" s="103" customFormat="1" ht="30" customHeight="1" x14ac:dyDescent="0.3">
      <c r="A36" s="504" t="s">
        <v>47</v>
      </c>
      <c r="B36" s="504"/>
      <c r="C36" s="504"/>
      <c r="D36" s="544"/>
      <c r="E36" s="233"/>
      <c r="F36" s="544"/>
      <c r="G36" s="245"/>
      <c r="H36" s="544"/>
      <c r="I36" s="233"/>
      <c r="J36" s="544"/>
      <c r="K36" s="247"/>
      <c r="L36" s="544"/>
      <c r="M36" s="169"/>
      <c r="N36" s="544"/>
    </row>
    <row r="37" spans="1:25" s="91" customFormat="1" ht="37.5" customHeight="1" x14ac:dyDescent="0.3">
      <c r="A37" s="546" t="s">
        <v>170</v>
      </c>
      <c r="B37" s="546"/>
      <c r="C37" s="546"/>
      <c r="D37" s="545" t="s">
        <v>161</v>
      </c>
      <c r="E37" s="236"/>
      <c r="F37" s="545" t="s">
        <v>161</v>
      </c>
      <c r="G37" s="237"/>
      <c r="H37" s="545">
        <v>6969</v>
      </c>
      <c r="I37" s="238"/>
      <c r="J37" s="545">
        <v>314</v>
      </c>
      <c r="K37" s="239"/>
      <c r="L37" s="545">
        <v>6902</v>
      </c>
      <c r="M37" s="240"/>
      <c r="N37" s="545">
        <v>342</v>
      </c>
      <c r="P37" s="215"/>
      <c r="R37" s="215"/>
      <c r="T37" s="216"/>
      <c r="V37" s="216"/>
      <c r="W37" s="216"/>
      <c r="X37" s="215"/>
      <c r="Y37" s="215"/>
    </row>
    <row r="38" spans="1:25" s="94" customFormat="1" ht="30" customHeight="1" x14ac:dyDescent="0.3">
      <c r="A38" s="519" t="s">
        <v>171</v>
      </c>
      <c r="B38" s="519"/>
      <c r="C38" s="519"/>
      <c r="D38" s="545"/>
      <c r="E38" s="238"/>
      <c r="F38" s="545"/>
      <c r="G38" s="237"/>
      <c r="H38" s="545"/>
      <c r="I38" s="238"/>
      <c r="J38" s="545"/>
      <c r="K38" s="239"/>
      <c r="L38" s="545"/>
      <c r="M38" s="240"/>
      <c r="N38" s="545"/>
    </row>
    <row r="39" spans="1:25" s="39" customFormat="1" ht="30" customHeight="1" x14ac:dyDescent="0.3">
      <c r="A39" s="547" t="s">
        <v>48</v>
      </c>
      <c r="B39" s="547"/>
      <c r="C39" s="547"/>
      <c r="D39" s="544">
        <v>27162</v>
      </c>
      <c r="E39" s="233"/>
      <c r="F39" s="544">
        <v>35100</v>
      </c>
      <c r="G39" s="245"/>
      <c r="H39" s="544">
        <v>27568</v>
      </c>
      <c r="I39" s="233"/>
      <c r="J39" s="544">
        <v>35779</v>
      </c>
      <c r="K39" s="247"/>
      <c r="L39" s="544">
        <v>28066</v>
      </c>
      <c r="M39" s="169"/>
      <c r="N39" s="544">
        <v>38695</v>
      </c>
      <c r="P39" s="217"/>
      <c r="R39" s="217"/>
      <c r="T39" s="193"/>
      <c r="V39" s="193"/>
      <c r="W39" s="193"/>
      <c r="X39" s="217"/>
      <c r="Y39" s="217"/>
    </row>
    <row r="40" spans="1:25" s="39" customFormat="1" ht="30" customHeight="1" x14ac:dyDescent="0.3">
      <c r="A40" s="504" t="s">
        <v>49</v>
      </c>
      <c r="B40" s="504"/>
      <c r="C40" s="504"/>
      <c r="D40" s="544"/>
      <c r="E40" s="233"/>
      <c r="F40" s="544"/>
      <c r="G40" s="245"/>
      <c r="H40" s="544"/>
      <c r="I40" s="233"/>
      <c r="J40" s="544"/>
      <c r="K40" s="247"/>
      <c r="L40" s="544"/>
      <c r="M40" s="169"/>
      <c r="N40" s="544"/>
    </row>
    <row r="41" spans="1:25" s="91" customFormat="1" ht="30" customHeight="1" x14ac:dyDescent="0.3">
      <c r="A41" s="509" t="s">
        <v>50</v>
      </c>
      <c r="B41" s="509"/>
      <c r="C41" s="509"/>
      <c r="D41" s="545">
        <v>16942</v>
      </c>
      <c r="E41" s="238"/>
      <c r="F41" s="545">
        <v>16662</v>
      </c>
      <c r="G41" s="237"/>
      <c r="H41" s="545">
        <v>17608</v>
      </c>
      <c r="I41" s="238"/>
      <c r="J41" s="545">
        <v>17751</v>
      </c>
      <c r="K41" s="239"/>
      <c r="L41" s="545">
        <v>18959</v>
      </c>
      <c r="M41" s="240"/>
      <c r="N41" s="545">
        <v>20158</v>
      </c>
      <c r="P41" s="215"/>
      <c r="R41" s="215"/>
      <c r="T41" s="216"/>
      <c r="V41" s="216"/>
      <c r="W41" s="216"/>
      <c r="X41" s="215"/>
      <c r="Y41" s="215"/>
    </row>
    <row r="42" spans="1:25" s="91" customFormat="1" ht="30" customHeight="1" x14ac:dyDescent="0.3">
      <c r="A42" s="519" t="s">
        <v>51</v>
      </c>
      <c r="B42" s="519"/>
      <c r="C42" s="519"/>
      <c r="D42" s="545"/>
      <c r="E42" s="238"/>
      <c r="F42" s="545"/>
      <c r="G42" s="237"/>
      <c r="H42" s="545"/>
      <c r="I42" s="238"/>
      <c r="J42" s="545"/>
      <c r="K42" s="239"/>
      <c r="L42" s="545"/>
      <c r="M42" s="240"/>
      <c r="N42" s="545"/>
    </row>
    <row r="43" spans="1:25" s="39" customFormat="1" ht="18.75" customHeight="1" thickBot="1" x14ac:dyDescent="0.35">
      <c r="A43" s="221"/>
      <c r="B43" s="221"/>
      <c r="C43" s="113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</row>
    <row r="44" spans="1:25" s="39" customFormat="1" ht="18.75" customHeight="1" x14ac:dyDescent="0.3">
      <c r="A44" s="187"/>
      <c r="B44" s="187"/>
      <c r="C44" s="85"/>
      <c r="D44" s="203"/>
      <c r="E44" s="204"/>
      <c r="F44" s="204"/>
      <c r="G44" s="204"/>
      <c r="H44" s="223"/>
      <c r="I44" s="204"/>
      <c r="J44" s="223"/>
      <c r="K44" s="204"/>
      <c r="L44" s="223"/>
      <c r="M44" s="204"/>
      <c r="N44" s="223"/>
    </row>
    <row r="45" spans="1:25" s="39" customFormat="1" ht="18.75" customHeight="1" x14ac:dyDescent="0.3">
      <c r="A45" s="95"/>
      <c r="B45" s="95"/>
      <c r="C45" s="85"/>
      <c r="D45" s="203"/>
      <c r="E45" s="204"/>
      <c r="F45" s="204"/>
      <c r="G45" s="204"/>
      <c r="H45" s="223"/>
      <c r="I45" s="204"/>
      <c r="J45" s="223"/>
      <c r="K45" s="204"/>
      <c r="L45" s="223"/>
      <c r="M45" s="204"/>
      <c r="N45" s="223"/>
    </row>
    <row r="46" spans="1:25" s="97" customFormat="1" ht="6" customHeight="1" x14ac:dyDescent="0.3">
      <c r="A46" s="224"/>
      <c r="B46" s="224"/>
      <c r="C46" s="188"/>
      <c r="D46" s="225"/>
      <c r="E46" s="225"/>
      <c r="F46" s="226"/>
      <c r="G46" s="226"/>
      <c r="H46" s="227"/>
      <c r="I46" s="227"/>
      <c r="J46" s="226"/>
      <c r="K46" s="226"/>
      <c r="L46" s="227"/>
      <c r="M46" s="227"/>
      <c r="N46" s="226"/>
    </row>
    <row r="47" spans="1:25" s="39" customFormat="1" ht="18.75" customHeight="1" x14ac:dyDescent="0.3">
      <c r="A47" s="190"/>
      <c r="B47" s="190"/>
      <c r="C47" s="85"/>
      <c r="D47" s="203"/>
      <c r="E47" s="204"/>
      <c r="F47" s="204"/>
      <c r="G47" s="204"/>
      <c r="H47" s="223"/>
      <c r="I47" s="204"/>
      <c r="J47" s="204"/>
      <c r="K47" s="204"/>
      <c r="L47" s="223"/>
      <c r="M47" s="204"/>
      <c r="N47" s="204"/>
    </row>
    <row r="48" spans="1:25" s="39" customFormat="1" ht="18.75" customHeight="1" x14ac:dyDescent="0.3">
      <c r="A48" s="95"/>
      <c r="B48" s="95"/>
      <c r="C48" s="85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</row>
    <row r="49" spans="1:14" s="39" customFormat="1" ht="6" customHeight="1" x14ac:dyDescent="0.3">
      <c r="A49" s="228"/>
      <c r="B49" s="228"/>
      <c r="C49" s="85"/>
      <c r="D49" s="204"/>
      <c r="E49" s="204"/>
      <c r="F49" s="204"/>
      <c r="G49" s="204"/>
      <c r="H49" s="223"/>
      <c r="I49" s="204"/>
      <c r="J49" s="204"/>
      <c r="K49" s="204"/>
      <c r="L49" s="223"/>
      <c r="M49" s="204"/>
      <c r="N49" s="204"/>
    </row>
    <row r="50" spans="1:14" s="39" customFormat="1" ht="18.75" customHeight="1" x14ac:dyDescent="0.3">
      <c r="A50" s="190"/>
      <c r="B50" s="190"/>
      <c r="C50" s="85"/>
      <c r="D50" s="204"/>
      <c r="E50" s="204"/>
      <c r="F50" s="204"/>
      <c r="G50" s="41"/>
      <c r="H50" s="204"/>
      <c r="I50" s="204"/>
      <c r="J50" s="204"/>
      <c r="K50" s="41"/>
      <c r="L50" s="204"/>
      <c r="M50" s="204"/>
      <c r="N50" s="204"/>
    </row>
    <row r="51" spans="1:14" s="39" customFormat="1" ht="18.75" customHeight="1" x14ac:dyDescent="0.3">
      <c r="A51" s="190"/>
      <c r="B51" s="190"/>
      <c r="C51" s="85"/>
      <c r="D51" s="229"/>
      <c r="E51" s="230"/>
      <c r="F51" s="229"/>
      <c r="G51" s="41"/>
      <c r="H51" s="229"/>
      <c r="I51" s="230"/>
      <c r="J51" s="229"/>
      <c r="K51" s="41"/>
      <c r="L51" s="229"/>
      <c r="M51" s="230"/>
      <c r="N51" s="229"/>
    </row>
    <row r="52" spans="1:14" s="39" customFormat="1" ht="18.75" customHeight="1" x14ac:dyDescent="0.3">
      <c r="A52" s="95"/>
      <c r="B52" s="95"/>
      <c r="C52" s="85"/>
    </row>
    <row r="53" spans="1:14" s="39" customFormat="1" ht="6" customHeight="1" x14ac:dyDescent="0.3">
      <c r="A53" s="84"/>
      <c r="B53" s="84"/>
      <c r="C53" s="85"/>
      <c r="D53" s="206"/>
      <c r="E53" s="206"/>
      <c r="F53" s="206"/>
      <c r="G53" s="41"/>
      <c r="H53" s="206"/>
      <c r="I53" s="206"/>
      <c r="J53" s="206"/>
      <c r="K53" s="41"/>
      <c r="L53" s="206"/>
      <c r="M53" s="206"/>
      <c r="N53" s="206"/>
    </row>
    <row r="54" spans="1:14" x14ac:dyDescent="0.3">
      <c r="A54" s="190"/>
      <c r="B54" s="190"/>
      <c r="C54" s="21"/>
      <c r="D54" s="207"/>
      <c r="E54" s="207"/>
      <c r="F54" s="207"/>
      <c r="G54" s="207"/>
      <c r="H54" s="207"/>
      <c r="I54" s="208"/>
      <c r="J54" s="207"/>
      <c r="K54" s="207"/>
      <c r="L54" s="207"/>
      <c r="M54" s="208"/>
      <c r="N54" s="207"/>
    </row>
    <row r="55" spans="1:14" x14ac:dyDescent="0.3">
      <c r="A55" s="95"/>
      <c r="B55" s="95"/>
      <c r="D55" s="21"/>
      <c r="E55" s="21"/>
      <c r="F55" s="21"/>
      <c r="G55" s="21"/>
      <c r="H55" s="22"/>
      <c r="I55" s="22"/>
      <c r="J55" s="72"/>
      <c r="K55" s="21"/>
      <c r="L55" s="22"/>
      <c r="M55" s="22"/>
      <c r="N55" s="72"/>
    </row>
    <row r="56" spans="1:14" ht="6" customHeight="1" x14ac:dyDescent="0.3">
      <c r="A56" s="190"/>
      <c r="B56" s="190"/>
    </row>
    <row r="57" spans="1:14" x14ac:dyDescent="0.3">
      <c r="A57" s="84"/>
      <c r="B57" s="84"/>
    </row>
    <row r="58" spans="1:14" x14ac:dyDescent="0.3">
      <c r="A58" s="190"/>
      <c r="B58" s="190"/>
    </row>
    <row r="59" spans="1:14" x14ac:dyDescent="0.3">
      <c r="A59" s="96"/>
      <c r="B59" s="96"/>
    </row>
    <row r="60" spans="1:14" x14ac:dyDescent="0.3">
      <c r="A60" s="96"/>
      <c r="B60" s="96"/>
    </row>
    <row r="61" spans="1:14" ht="6" customHeight="1" x14ac:dyDescent="0.3">
      <c r="A61" s="190"/>
      <c r="B61" s="190"/>
    </row>
    <row r="62" spans="1:14" x14ac:dyDescent="0.3">
      <c r="A62" s="190"/>
      <c r="B62" s="190"/>
    </row>
    <row r="63" spans="1:14" x14ac:dyDescent="0.3">
      <c r="A63" s="209"/>
      <c r="B63" s="209"/>
    </row>
    <row r="64" spans="1:14" ht="6" customHeight="1" x14ac:dyDescent="0.3">
      <c r="A64" s="210"/>
      <c r="B64" s="210"/>
    </row>
    <row r="65" spans="1:2" x14ac:dyDescent="0.3">
      <c r="A65" s="187"/>
      <c r="B65" s="187"/>
    </row>
    <row r="66" spans="1:2" x14ac:dyDescent="0.3">
      <c r="A66" s="209"/>
      <c r="B66" s="209"/>
    </row>
    <row r="67" spans="1:2" ht="6" customHeight="1" x14ac:dyDescent="0.3">
      <c r="A67" s="187"/>
      <c r="B67" s="187"/>
    </row>
    <row r="68" spans="1:2" x14ac:dyDescent="0.3">
      <c r="A68" s="187"/>
      <c r="B68" s="187"/>
    </row>
    <row r="69" spans="1:2" x14ac:dyDescent="0.3">
      <c r="A69" s="209"/>
      <c r="B69" s="209"/>
    </row>
  </sheetData>
  <mergeCells count="119">
    <mergeCell ref="A41:C41"/>
    <mergeCell ref="A42:C42"/>
    <mergeCell ref="A5:C8"/>
    <mergeCell ref="A36:C36"/>
    <mergeCell ref="A29:C29"/>
    <mergeCell ref="A30:C30"/>
    <mergeCell ref="A33:C33"/>
    <mergeCell ref="A34:C34"/>
    <mergeCell ref="A39:C39"/>
    <mergeCell ref="A16:C16"/>
    <mergeCell ref="A17:C17"/>
    <mergeCell ref="A23:C23"/>
    <mergeCell ref="A21:C21"/>
    <mergeCell ref="A25:C25"/>
    <mergeCell ref="A32:C32"/>
    <mergeCell ref="A38:C38"/>
    <mergeCell ref="A37:C37"/>
    <mergeCell ref="A40:C40"/>
    <mergeCell ref="A13:C13"/>
    <mergeCell ref="A27:C27"/>
    <mergeCell ref="A31:C31"/>
    <mergeCell ref="H13:H14"/>
    <mergeCell ref="F13:F14"/>
    <mergeCell ref="D13:D14"/>
    <mergeCell ref="F15:F16"/>
    <mergeCell ref="D15:D16"/>
    <mergeCell ref="D5:F5"/>
    <mergeCell ref="L5:N5"/>
    <mergeCell ref="O1:Q1"/>
    <mergeCell ref="C1:N1"/>
    <mergeCell ref="L15:L16"/>
    <mergeCell ref="N15:N16"/>
    <mergeCell ref="H5:J5"/>
    <mergeCell ref="H15:H16"/>
    <mergeCell ref="J15:J16"/>
    <mergeCell ref="D6:F6"/>
    <mergeCell ref="H6:J6"/>
    <mergeCell ref="L6:N6"/>
    <mergeCell ref="N13:N14"/>
    <mergeCell ref="L13:L14"/>
    <mergeCell ref="J13:J14"/>
    <mergeCell ref="F19:F20"/>
    <mergeCell ref="D19:D20"/>
    <mergeCell ref="F17:F18"/>
    <mergeCell ref="D17:D18"/>
    <mergeCell ref="N21:N22"/>
    <mergeCell ref="L21:L22"/>
    <mergeCell ref="J21:J22"/>
    <mergeCell ref="H21:H22"/>
    <mergeCell ref="F21:F22"/>
    <mergeCell ref="D21:D22"/>
    <mergeCell ref="L19:L20"/>
    <mergeCell ref="N19:N20"/>
    <mergeCell ref="H19:H20"/>
    <mergeCell ref="J19:J20"/>
    <mergeCell ref="H17:H18"/>
    <mergeCell ref="J17:J18"/>
    <mergeCell ref="L17:L18"/>
    <mergeCell ref="N17:N18"/>
    <mergeCell ref="D23:D24"/>
    <mergeCell ref="F25:F26"/>
    <mergeCell ref="D25:D26"/>
    <mergeCell ref="N27:N28"/>
    <mergeCell ref="L27:L28"/>
    <mergeCell ref="J27:J28"/>
    <mergeCell ref="H27:H28"/>
    <mergeCell ref="F27:F28"/>
    <mergeCell ref="D27:D28"/>
    <mergeCell ref="N23:N24"/>
    <mergeCell ref="L23:L24"/>
    <mergeCell ref="J23:J24"/>
    <mergeCell ref="H23:H24"/>
    <mergeCell ref="F23:F24"/>
    <mergeCell ref="N25:N26"/>
    <mergeCell ref="H25:H26"/>
    <mergeCell ref="J25:J26"/>
    <mergeCell ref="L25:L26"/>
    <mergeCell ref="F29:F30"/>
    <mergeCell ref="D29:D30"/>
    <mergeCell ref="N37:N38"/>
    <mergeCell ref="L37:L38"/>
    <mergeCell ref="J37:J38"/>
    <mergeCell ref="H37:H38"/>
    <mergeCell ref="F37:F38"/>
    <mergeCell ref="D37:D38"/>
    <mergeCell ref="F35:F36"/>
    <mergeCell ref="D35:D36"/>
    <mergeCell ref="N33:N34"/>
    <mergeCell ref="L33:L34"/>
    <mergeCell ref="J33:J34"/>
    <mergeCell ref="H33:H34"/>
    <mergeCell ref="F33:F34"/>
    <mergeCell ref="D33:D34"/>
    <mergeCell ref="L29:L30"/>
    <mergeCell ref="N29:N30"/>
    <mergeCell ref="H29:H30"/>
    <mergeCell ref="J29:J30"/>
    <mergeCell ref="N35:N36"/>
    <mergeCell ref="L35:L36"/>
    <mergeCell ref="H35:H36"/>
    <mergeCell ref="J35:J36"/>
    <mergeCell ref="D39:D40"/>
    <mergeCell ref="F41:F42"/>
    <mergeCell ref="D41:D42"/>
    <mergeCell ref="N39:N40"/>
    <mergeCell ref="L39:L40"/>
    <mergeCell ref="J39:J40"/>
    <mergeCell ref="H39:H40"/>
    <mergeCell ref="F39:F40"/>
    <mergeCell ref="F31:F32"/>
    <mergeCell ref="D31:D32"/>
    <mergeCell ref="N41:N42"/>
    <mergeCell ref="L41:L42"/>
    <mergeCell ref="H41:H42"/>
    <mergeCell ref="J41:J42"/>
    <mergeCell ref="N31:N32"/>
    <mergeCell ref="L31:L32"/>
    <mergeCell ref="J31:J32"/>
    <mergeCell ref="H31:H32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tabColor rgb="FFEE6EE8"/>
  </sheetPr>
  <dimension ref="A1:Y69"/>
  <sheetViews>
    <sheetView tabSelected="1" view="pageBreakPreview" topLeftCell="A31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31.140625" style="18" customWidth="1"/>
    <col min="4" max="4" width="20" style="18" customWidth="1"/>
    <col min="5" max="5" width="1.7109375" style="18" customWidth="1"/>
    <col min="6" max="6" width="20" style="18" customWidth="1"/>
    <col min="7" max="7" width="1.7109375" style="18" customWidth="1"/>
    <col min="8" max="8" width="20" style="20" customWidth="1"/>
    <col min="9" max="9" width="1.7109375" style="20" customWidth="1"/>
    <col min="10" max="10" width="20" style="110" customWidth="1"/>
    <col min="11" max="11" width="1.7109375" style="18" customWidth="1"/>
    <col min="12" max="12" width="20" style="20" customWidth="1"/>
    <col min="13" max="13" width="1.7109375" style="20" customWidth="1"/>
    <col min="14" max="14" width="20" style="110" customWidth="1"/>
    <col min="15" max="15" width="12.42578125" style="18"/>
    <col min="16" max="16" width="7" style="18" customWidth="1"/>
    <col min="17" max="17" width="12.42578125" style="18"/>
    <col min="18" max="18" width="5.140625" style="18" customWidth="1"/>
    <col min="19" max="19" width="12.42578125" style="18"/>
    <col min="20" max="20" width="6.5703125" style="18" bestFit="1" customWidth="1"/>
    <col min="21" max="16384" width="12.42578125" style="18"/>
  </cols>
  <sheetData>
    <row r="1" spans="1:25" s="71" customFormat="1" ht="18.75" customHeight="1" x14ac:dyDescent="0.3">
      <c r="A1" s="118" t="s">
        <v>109</v>
      </c>
      <c r="B1" s="118" t="s">
        <v>80</v>
      </c>
      <c r="C1" s="524" t="s">
        <v>203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</row>
    <row r="2" spans="1:25" s="427" customFormat="1" ht="18.75" customHeight="1" x14ac:dyDescent="0.3">
      <c r="A2" s="426" t="s">
        <v>110</v>
      </c>
      <c r="B2" s="426" t="s">
        <v>80</v>
      </c>
      <c r="C2" s="426" t="s">
        <v>204</v>
      </c>
      <c r="D2" s="426"/>
      <c r="E2" s="426"/>
      <c r="F2" s="426"/>
      <c r="G2" s="426"/>
      <c r="K2" s="426"/>
    </row>
    <row r="3" spans="1:25" s="21" customFormat="1" ht="11.25" customHeight="1" thickBot="1" x14ac:dyDescent="0.35">
      <c r="H3" s="22"/>
      <c r="I3" s="22"/>
      <c r="J3" s="72"/>
      <c r="L3" s="22"/>
      <c r="M3" s="22"/>
      <c r="N3" s="72"/>
    </row>
    <row r="4" spans="1:25" s="21" customFormat="1" ht="9" customHeight="1" x14ac:dyDescent="0.3">
      <c r="A4" s="23"/>
      <c r="B4" s="23"/>
      <c r="C4" s="23"/>
      <c r="D4" s="26"/>
      <c r="E4" s="26"/>
      <c r="F4" s="26"/>
      <c r="G4" s="26"/>
      <c r="H4" s="25"/>
      <c r="I4" s="25"/>
      <c r="J4" s="73"/>
      <c r="K4" s="26"/>
      <c r="L4" s="25"/>
      <c r="M4" s="25"/>
      <c r="N4" s="73"/>
    </row>
    <row r="5" spans="1:25" s="21" customFormat="1" ht="18.75" customHeight="1" x14ac:dyDescent="0.3">
      <c r="A5" s="518" t="s">
        <v>261</v>
      </c>
      <c r="B5" s="518"/>
      <c r="C5" s="518"/>
      <c r="D5" s="517">
        <v>2022</v>
      </c>
      <c r="E5" s="517"/>
      <c r="F5" s="517"/>
      <c r="G5" s="74"/>
      <c r="H5" s="517">
        <v>2023</v>
      </c>
      <c r="I5" s="517"/>
      <c r="J5" s="517"/>
      <c r="K5" s="74"/>
      <c r="L5" s="517">
        <v>2024</v>
      </c>
      <c r="M5" s="517"/>
      <c r="N5" s="517"/>
    </row>
    <row r="6" spans="1:25" s="21" customFormat="1" ht="9" customHeight="1" x14ac:dyDescent="0.3">
      <c r="A6" s="518"/>
      <c r="B6" s="518"/>
      <c r="C6" s="518"/>
      <c r="D6" s="520"/>
      <c r="E6" s="520"/>
      <c r="F6" s="520"/>
      <c r="G6" s="74"/>
      <c r="H6" s="520"/>
      <c r="I6" s="520"/>
      <c r="J6" s="520"/>
      <c r="K6" s="74"/>
      <c r="L6" s="520"/>
      <c r="M6" s="520"/>
      <c r="N6" s="520"/>
    </row>
    <row r="7" spans="1:25" s="21" customFormat="1" ht="9" customHeight="1" x14ac:dyDescent="0.3">
      <c r="A7" s="518"/>
      <c r="B7" s="518"/>
      <c r="C7" s="518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25" s="21" customFormat="1" ht="97.5" customHeight="1" x14ac:dyDescent="0.3">
      <c r="A8" s="518"/>
      <c r="B8" s="518"/>
      <c r="C8" s="518"/>
      <c r="D8" s="211" t="s">
        <v>262</v>
      </c>
      <c r="E8" s="77"/>
      <c r="F8" s="77" t="s">
        <v>263</v>
      </c>
      <c r="G8" s="77"/>
      <c r="H8" s="211" t="s">
        <v>262</v>
      </c>
      <c r="I8" s="77"/>
      <c r="J8" s="77" t="s">
        <v>263</v>
      </c>
      <c r="K8" s="77"/>
      <c r="L8" s="211" t="s">
        <v>262</v>
      </c>
      <c r="M8" s="77"/>
      <c r="N8" s="77" t="s">
        <v>263</v>
      </c>
    </row>
    <row r="9" spans="1:25" s="21" customFormat="1" ht="9" customHeight="1" thickBot="1" x14ac:dyDescent="0.35">
      <c r="A9" s="31"/>
      <c r="B9" s="31"/>
      <c r="C9" s="78"/>
      <c r="D9" s="78"/>
      <c r="E9" s="78"/>
      <c r="F9" s="78"/>
      <c r="G9" s="78"/>
      <c r="H9" s="31"/>
      <c r="I9" s="31"/>
      <c r="J9" s="79"/>
      <c r="K9" s="78"/>
      <c r="L9" s="31"/>
      <c r="M9" s="31"/>
      <c r="N9" s="79"/>
    </row>
    <row r="10" spans="1:25" ht="18.75" customHeight="1" x14ac:dyDescent="0.3">
      <c r="A10" s="34"/>
      <c r="B10" s="34"/>
      <c r="C10" s="21"/>
      <c r="D10" s="21"/>
      <c r="E10" s="21"/>
      <c r="F10" s="21"/>
      <c r="G10" s="21"/>
      <c r="H10" s="34"/>
      <c r="I10" s="34"/>
      <c r="J10" s="72"/>
      <c r="K10" s="21"/>
      <c r="L10" s="34"/>
      <c r="M10" s="34"/>
      <c r="N10" s="72"/>
    </row>
    <row r="11" spans="1:25" s="68" customFormat="1" ht="30" customHeight="1" x14ac:dyDescent="0.25">
      <c r="A11" s="68" t="s">
        <v>264</v>
      </c>
      <c r="C11" s="182"/>
      <c r="D11" s="136">
        <v>282721</v>
      </c>
      <c r="E11" s="136"/>
      <c r="F11" s="136">
        <v>237839</v>
      </c>
      <c r="G11" s="183"/>
      <c r="H11" s="136">
        <v>284596</v>
      </c>
      <c r="I11" s="136"/>
      <c r="J11" s="136">
        <v>257467</v>
      </c>
      <c r="K11" s="183"/>
      <c r="L11" s="136">
        <v>295464</v>
      </c>
      <c r="M11" s="136"/>
      <c r="N11" s="136">
        <v>293909</v>
      </c>
      <c r="P11" s="212"/>
      <c r="R11" s="212"/>
      <c r="T11" s="213"/>
      <c r="V11" s="213"/>
      <c r="W11" s="213"/>
      <c r="X11" s="212"/>
      <c r="Y11" s="212"/>
    </row>
    <row r="12" spans="1:25" s="39" customFormat="1" ht="18.75" customHeight="1" x14ac:dyDescent="0.3">
      <c r="A12" s="84"/>
      <c r="B12" s="84"/>
      <c r="C12" s="85"/>
      <c r="D12" s="139"/>
      <c r="E12" s="139"/>
      <c r="F12" s="139"/>
      <c r="G12" s="214"/>
      <c r="H12" s="139"/>
      <c r="I12" s="139"/>
      <c r="J12" s="139"/>
      <c r="K12" s="214"/>
      <c r="L12" s="139"/>
      <c r="M12" s="139"/>
      <c r="N12" s="139"/>
    </row>
    <row r="13" spans="1:25" s="91" customFormat="1" ht="30" customHeight="1" x14ac:dyDescent="0.3">
      <c r="A13" s="509" t="s">
        <v>159</v>
      </c>
      <c r="B13" s="509"/>
      <c r="C13" s="509"/>
      <c r="D13" s="545" t="s">
        <v>161</v>
      </c>
      <c r="E13" s="144"/>
      <c r="F13" s="545" t="s">
        <v>161</v>
      </c>
      <c r="G13" s="144"/>
      <c r="H13" s="545">
        <v>3532</v>
      </c>
      <c r="I13" s="144"/>
      <c r="J13" s="545">
        <v>18478</v>
      </c>
      <c r="K13" s="144"/>
      <c r="L13" s="545">
        <v>4350</v>
      </c>
      <c r="M13" s="144"/>
      <c r="N13" s="545">
        <v>20166</v>
      </c>
      <c r="P13" s="215"/>
      <c r="R13" s="215"/>
      <c r="T13" s="216"/>
      <c r="V13" s="216"/>
      <c r="W13" s="216"/>
      <c r="X13" s="215"/>
      <c r="Y13" s="215"/>
    </row>
    <row r="14" spans="1:25" s="94" customFormat="1" ht="30" customHeight="1" x14ac:dyDescent="0.3">
      <c r="A14" s="433" t="s">
        <v>160</v>
      </c>
      <c r="B14" s="9"/>
      <c r="C14" s="192"/>
      <c r="D14" s="545"/>
      <c r="E14" s="144"/>
      <c r="F14" s="545"/>
      <c r="G14" s="144"/>
      <c r="H14" s="545"/>
      <c r="I14" s="144"/>
      <c r="J14" s="545"/>
      <c r="K14" s="144"/>
      <c r="L14" s="545"/>
      <c r="M14" s="144"/>
      <c r="N14" s="545"/>
    </row>
    <row r="15" spans="1:25" s="46" customFormat="1" ht="30" customHeight="1" x14ac:dyDescent="0.3">
      <c r="A15" s="190" t="s">
        <v>37</v>
      </c>
      <c r="B15" s="190"/>
      <c r="C15" s="85"/>
      <c r="D15" s="544">
        <v>1082</v>
      </c>
      <c r="E15" s="139"/>
      <c r="F15" s="544">
        <v>16735</v>
      </c>
      <c r="G15" s="139"/>
      <c r="H15" s="544" t="s">
        <v>161</v>
      </c>
      <c r="I15" s="139"/>
      <c r="J15" s="544" t="s">
        <v>161</v>
      </c>
      <c r="K15" s="139"/>
      <c r="L15" s="544" t="s">
        <v>161</v>
      </c>
      <c r="M15" s="139"/>
      <c r="N15" s="544" t="s">
        <v>161</v>
      </c>
      <c r="P15" s="217"/>
      <c r="R15" s="217"/>
      <c r="T15" s="193"/>
      <c r="V15" s="193"/>
      <c r="W15" s="193"/>
      <c r="X15" s="217"/>
      <c r="Y15" s="217"/>
    </row>
    <row r="16" spans="1:25" s="103" customFormat="1" ht="30" customHeight="1" x14ac:dyDescent="0.3">
      <c r="A16" s="504" t="s">
        <v>38</v>
      </c>
      <c r="B16" s="504"/>
      <c r="C16" s="504"/>
      <c r="D16" s="544"/>
      <c r="E16" s="139"/>
      <c r="F16" s="544"/>
      <c r="G16" s="139"/>
      <c r="H16" s="544"/>
      <c r="I16" s="139"/>
      <c r="J16" s="544"/>
      <c r="K16" s="139"/>
      <c r="L16" s="544"/>
      <c r="M16" s="139"/>
      <c r="N16" s="544"/>
      <c r="P16" s="217"/>
    </row>
    <row r="17" spans="1:25" s="91" customFormat="1" ht="30" customHeight="1" x14ac:dyDescent="0.3">
      <c r="A17" s="509" t="s">
        <v>39</v>
      </c>
      <c r="B17" s="509"/>
      <c r="C17" s="509"/>
      <c r="D17" s="545">
        <v>13771</v>
      </c>
      <c r="E17" s="144"/>
      <c r="F17" s="548">
        <v>6728</v>
      </c>
      <c r="G17" s="144"/>
      <c r="H17" s="548">
        <v>12531</v>
      </c>
      <c r="I17" s="144"/>
      <c r="J17" s="548">
        <v>8841</v>
      </c>
      <c r="K17" s="144"/>
      <c r="L17" s="548">
        <v>12785</v>
      </c>
      <c r="M17" s="144"/>
      <c r="N17" s="548">
        <v>14532</v>
      </c>
      <c r="P17" s="215"/>
      <c r="R17" s="215"/>
      <c r="T17" s="216"/>
      <c r="V17" s="216"/>
      <c r="W17" s="216"/>
      <c r="X17" s="215"/>
      <c r="Y17" s="215"/>
    </row>
    <row r="18" spans="1:25" s="94" customFormat="1" ht="30" customHeight="1" x14ac:dyDescent="0.3">
      <c r="A18" s="433" t="s">
        <v>40</v>
      </c>
      <c r="B18" s="9"/>
      <c r="C18" s="192"/>
      <c r="D18" s="545"/>
      <c r="E18" s="144"/>
      <c r="F18" s="548"/>
      <c r="G18" s="144"/>
      <c r="H18" s="548"/>
      <c r="I18" s="144"/>
      <c r="J18" s="548"/>
      <c r="K18" s="144"/>
      <c r="L18" s="548"/>
      <c r="M18" s="144"/>
      <c r="N18" s="548"/>
    </row>
    <row r="19" spans="1:25" s="46" customFormat="1" ht="30" customHeight="1" x14ac:dyDescent="0.3">
      <c r="A19" s="190" t="s">
        <v>41</v>
      </c>
      <c r="B19" s="190"/>
      <c r="C19" s="85"/>
      <c r="D19" s="544">
        <v>20933</v>
      </c>
      <c r="E19" s="139"/>
      <c r="F19" s="544">
        <v>21653</v>
      </c>
      <c r="G19" s="139"/>
      <c r="H19" s="544">
        <v>22731</v>
      </c>
      <c r="I19" s="139"/>
      <c r="J19" s="544">
        <v>23653</v>
      </c>
      <c r="K19" s="139"/>
      <c r="L19" s="544">
        <v>23227</v>
      </c>
      <c r="M19" s="139"/>
      <c r="N19" s="544">
        <v>25518</v>
      </c>
      <c r="P19" s="217"/>
      <c r="R19" s="217"/>
      <c r="T19" s="193"/>
      <c r="V19" s="193"/>
      <c r="W19" s="193"/>
      <c r="X19" s="217"/>
      <c r="Y19" s="217"/>
    </row>
    <row r="20" spans="1:25" s="46" customFormat="1" ht="30" customHeight="1" x14ac:dyDescent="0.3">
      <c r="A20" s="434" t="s">
        <v>42</v>
      </c>
      <c r="B20" s="8"/>
      <c r="C20" s="85"/>
      <c r="D20" s="544"/>
      <c r="E20" s="139"/>
      <c r="F20" s="544"/>
      <c r="G20" s="139"/>
      <c r="H20" s="544"/>
      <c r="I20" s="139"/>
      <c r="J20" s="544"/>
      <c r="K20" s="139"/>
      <c r="L20" s="544"/>
      <c r="M20" s="139"/>
      <c r="N20" s="544"/>
    </row>
    <row r="21" spans="1:25" s="94" customFormat="1" ht="30" customHeight="1" x14ac:dyDescent="0.3">
      <c r="A21" s="546" t="s">
        <v>162</v>
      </c>
      <c r="B21" s="546"/>
      <c r="C21" s="546"/>
      <c r="D21" s="545" t="s">
        <v>161</v>
      </c>
      <c r="E21" s="144"/>
      <c r="F21" s="545" t="s">
        <v>161</v>
      </c>
      <c r="G21" s="144"/>
      <c r="H21" s="545">
        <v>12886</v>
      </c>
      <c r="I21" s="144"/>
      <c r="J21" s="545">
        <v>8115</v>
      </c>
      <c r="K21" s="144"/>
      <c r="L21" s="545">
        <v>13189</v>
      </c>
      <c r="M21" s="144"/>
      <c r="N21" s="545">
        <v>9452</v>
      </c>
      <c r="P21" s="215"/>
      <c r="R21" s="215"/>
      <c r="T21" s="216"/>
      <c r="V21" s="216"/>
      <c r="W21" s="216"/>
      <c r="X21" s="215"/>
      <c r="Y21" s="215"/>
    </row>
    <row r="22" spans="1:25" s="218" customFormat="1" ht="30" customHeight="1" x14ac:dyDescent="0.3">
      <c r="A22" s="433" t="s">
        <v>163</v>
      </c>
      <c r="B22" s="9"/>
      <c r="C22" s="9"/>
      <c r="D22" s="545"/>
      <c r="E22" s="144"/>
      <c r="F22" s="545"/>
      <c r="G22" s="144"/>
      <c r="H22" s="545"/>
      <c r="I22" s="144"/>
      <c r="J22" s="545"/>
      <c r="K22" s="144"/>
      <c r="L22" s="545"/>
      <c r="M22" s="144"/>
      <c r="N22" s="545"/>
    </row>
    <row r="23" spans="1:25" s="97" customFormat="1" ht="30" customHeight="1" x14ac:dyDescent="0.3">
      <c r="A23" s="511" t="s">
        <v>121</v>
      </c>
      <c r="B23" s="511"/>
      <c r="C23" s="511"/>
      <c r="D23" s="544">
        <v>71143</v>
      </c>
      <c r="E23" s="139"/>
      <c r="F23" s="544">
        <v>85979</v>
      </c>
      <c r="G23" s="139"/>
      <c r="H23" s="544" t="s">
        <v>161</v>
      </c>
      <c r="I23" s="139"/>
      <c r="J23" s="544" t="s">
        <v>161</v>
      </c>
      <c r="K23" s="139"/>
      <c r="L23" s="544" t="s">
        <v>161</v>
      </c>
      <c r="M23" s="139"/>
      <c r="N23" s="544" t="s">
        <v>161</v>
      </c>
      <c r="P23" s="217"/>
      <c r="R23" s="217"/>
      <c r="T23" s="193"/>
      <c r="V23" s="193"/>
      <c r="W23" s="193"/>
      <c r="X23" s="217"/>
      <c r="Y23" s="217"/>
    </row>
    <row r="24" spans="1:25" s="95" customFormat="1" ht="30" customHeight="1" x14ac:dyDescent="0.3">
      <c r="A24" s="434" t="s">
        <v>43</v>
      </c>
      <c r="B24" s="8"/>
      <c r="C24" s="8"/>
      <c r="D24" s="544"/>
      <c r="E24" s="139"/>
      <c r="F24" s="544"/>
      <c r="G24" s="139"/>
      <c r="H24" s="544"/>
      <c r="I24" s="139"/>
      <c r="J24" s="544"/>
      <c r="K24" s="139"/>
      <c r="L24" s="544"/>
      <c r="M24" s="139"/>
      <c r="N24" s="544"/>
    </row>
    <row r="25" spans="1:25" s="94" customFormat="1" ht="30" customHeight="1" x14ac:dyDescent="0.3">
      <c r="A25" s="546" t="s">
        <v>164</v>
      </c>
      <c r="B25" s="546"/>
      <c r="C25" s="546"/>
      <c r="D25" s="545" t="s">
        <v>161</v>
      </c>
      <c r="E25" s="144"/>
      <c r="F25" s="545" t="s">
        <v>161</v>
      </c>
      <c r="G25" s="144"/>
      <c r="H25" s="545">
        <v>58695</v>
      </c>
      <c r="I25" s="144"/>
      <c r="J25" s="545">
        <v>83922</v>
      </c>
      <c r="K25" s="144"/>
      <c r="L25" s="545">
        <v>62071</v>
      </c>
      <c r="M25" s="144"/>
      <c r="N25" s="545">
        <v>95258</v>
      </c>
      <c r="P25" s="215"/>
      <c r="R25" s="215"/>
      <c r="T25" s="216"/>
      <c r="V25" s="216"/>
      <c r="W25" s="216"/>
      <c r="X25" s="215"/>
      <c r="Y25" s="215"/>
    </row>
    <row r="26" spans="1:25" s="94" customFormat="1" ht="30" customHeight="1" x14ac:dyDescent="0.3">
      <c r="A26" s="433" t="s">
        <v>165</v>
      </c>
      <c r="B26" s="219"/>
      <c r="C26" s="219"/>
      <c r="D26" s="545"/>
      <c r="E26" s="144"/>
      <c r="F26" s="545"/>
      <c r="G26" s="144"/>
      <c r="H26" s="545"/>
      <c r="I26" s="144"/>
      <c r="J26" s="545"/>
      <c r="K26" s="144"/>
      <c r="L26" s="545"/>
      <c r="M26" s="144"/>
      <c r="N26" s="545"/>
      <c r="P26" s="220"/>
    </row>
    <row r="27" spans="1:25" s="97" customFormat="1" ht="30" customHeight="1" x14ac:dyDescent="0.3">
      <c r="A27" s="511" t="s">
        <v>166</v>
      </c>
      <c r="B27" s="511"/>
      <c r="C27" s="511"/>
      <c r="D27" s="544" t="s">
        <v>161</v>
      </c>
      <c r="E27" s="139"/>
      <c r="F27" s="544" t="s">
        <v>161</v>
      </c>
      <c r="G27" s="139"/>
      <c r="H27" s="544">
        <v>16289</v>
      </c>
      <c r="I27" s="139"/>
      <c r="J27" s="544">
        <v>3814</v>
      </c>
      <c r="K27" s="139"/>
      <c r="L27" s="544">
        <v>16409</v>
      </c>
      <c r="M27" s="139"/>
      <c r="N27" s="544">
        <v>4387</v>
      </c>
      <c r="P27" s="217"/>
      <c r="R27" s="217"/>
      <c r="T27" s="193"/>
      <c r="V27" s="193"/>
      <c r="W27" s="193"/>
      <c r="X27" s="217"/>
      <c r="Y27" s="217"/>
    </row>
    <row r="28" spans="1:25" s="95" customFormat="1" ht="30" customHeight="1" x14ac:dyDescent="0.3">
      <c r="A28" s="434" t="s">
        <v>167</v>
      </c>
      <c r="B28" s="8"/>
      <c r="C28" s="8"/>
      <c r="D28" s="544"/>
      <c r="E28" s="139"/>
      <c r="F28" s="544"/>
      <c r="G28" s="139"/>
      <c r="H28" s="544"/>
      <c r="I28" s="139"/>
      <c r="J28" s="544"/>
      <c r="K28" s="139"/>
      <c r="L28" s="544"/>
      <c r="M28" s="139"/>
      <c r="N28" s="544"/>
    </row>
    <row r="29" spans="1:25" s="94" customFormat="1" ht="30" customHeight="1" x14ac:dyDescent="0.3">
      <c r="A29" s="546" t="s">
        <v>44</v>
      </c>
      <c r="B29" s="546"/>
      <c r="C29" s="546"/>
      <c r="D29" s="545">
        <v>42980</v>
      </c>
      <c r="E29" s="144"/>
      <c r="F29" s="545">
        <v>38891</v>
      </c>
      <c r="G29" s="144"/>
      <c r="H29" s="545" t="s">
        <v>161</v>
      </c>
      <c r="I29" s="144"/>
      <c r="J29" s="545" t="s">
        <v>161</v>
      </c>
      <c r="K29" s="144"/>
      <c r="L29" s="545"/>
      <c r="M29" s="144"/>
      <c r="N29" s="545"/>
      <c r="P29" s="215"/>
      <c r="R29" s="215"/>
      <c r="T29" s="216"/>
      <c r="V29" s="216"/>
      <c r="W29" s="216"/>
      <c r="X29" s="215"/>
      <c r="Y29" s="215"/>
    </row>
    <row r="30" spans="1:25" s="94" customFormat="1" ht="30" customHeight="1" x14ac:dyDescent="0.3">
      <c r="A30" s="510" t="s">
        <v>45</v>
      </c>
      <c r="B30" s="510"/>
      <c r="C30" s="510"/>
      <c r="D30" s="545"/>
      <c r="E30" s="144"/>
      <c r="F30" s="545"/>
      <c r="G30" s="144"/>
      <c r="H30" s="545"/>
      <c r="I30" s="144"/>
      <c r="J30" s="545"/>
      <c r="K30" s="144"/>
      <c r="L30" s="545"/>
      <c r="M30" s="144"/>
      <c r="N30" s="545"/>
      <c r="P30" s="220"/>
    </row>
    <row r="31" spans="1:25" s="39" customFormat="1" ht="30" customHeight="1" x14ac:dyDescent="0.3">
      <c r="A31" s="547" t="s">
        <v>168</v>
      </c>
      <c r="B31" s="547"/>
      <c r="C31" s="547"/>
      <c r="D31" s="544" t="s">
        <v>161</v>
      </c>
      <c r="E31" s="139"/>
      <c r="F31" s="544" t="s">
        <v>161</v>
      </c>
      <c r="G31" s="139"/>
      <c r="H31" s="544">
        <v>28300</v>
      </c>
      <c r="I31" s="139"/>
      <c r="J31" s="544">
        <v>42166</v>
      </c>
      <c r="K31" s="139"/>
      <c r="L31" s="544">
        <v>30701</v>
      </c>
      <c r="M31" s="139"/>
      <c r="N31" s="544">
        <v>47473</v>
      </c>
      <c r="P31" s="217"/>
      <c r="R31" s="217"/>
      <c r="T31" s="193"/>
      <c r="V31" s="193"/>
      <c r="W31" s="193"/>
      <c r="X31" s="217"/>
      <c r="Y31" s="217"/>
    </row>
    <row r="32" spans="1:25" s="39" customFormat="1" ht="30" customHeight="1" x14ac:dyDescent="0.3">
      <c r="A32" s="504" t="s">
        <v>169</v>
      </c>
      <c r="B32" s="504"/>
      <c r="C32" s="504"/>
      <c r="D32" s="544"/>
      <c r="E32" s="139"/>
      <c r="F32" s="544"/>
      <c r="G32" s="139"/>
      <c r="H32" s="544"/>
      <c r="I32" s="139"/>
      <c r="J32" s="544"/>
      <c r="K32" s="139"/>
      <c r="L32" s="544"/>
      <c r="M32" s="139"/>
      <c r="N32" s="544"/>
    </row>
    <row r="33" spans="1:25" s="91" customFormat="1" ht="30" customHeight="1" x14ac:dyDescent="0.3">
      <c r="A33" s="509" t="s">
        <v>63</v>
      </c>
      <c r="B33" s="509"/>
      <c r="C33" s="509"/>
      <c r="D33" s="545">
        <v>104752</v>
      </c>
      <c r="E33" s="144"/>
      <c r="F33" s="545">
        <v>34473</v>
      </c>
      <c r="G33" s="144"/>
      <c r="H33" s="545">
        <v>100118</v>
      </c>
      <c r="I33" s="144"/>
      <c r="J33" s="545">
        <v>33278</v>
      </c>
      <c r="K33" s="144"/>
      <c r="L33" s="545">
        <v>101034</v>
      </c>
      <c r="M33" s="144"/>
      <c r="N33" s="545">
        <v>36607</v>
      </c>
      <c r="P33" s="215"/>
      <c r="R33" s="215"/>
      <c r="T33" s="216"/>
      <c r="V33" s="216"/>
      <c r="W33" s="216"/>
      <c r="X33" s="215"/>
      <c r="Y33" s="215"/>
    </row>
    <row r="34" spans="1:25" s="91" customFormat="1" ht="30" customHeight="1" x14ac:dyDescent="0.3">
      <c r="A34" s="519" t="s">
        <v>64</v>
      </c>
      <c r="B34" s="519"/>
      <c r="C34" s="519"/>
      <c r="D34" s="545"/>
      <c r="E34" s="144"/>
      <c r="F34" s="545"/>
      <c r="G34" s="144"/>
      <c r="H34" s="545"/>
      <c r="I34" s="144"/>
      <c r="J34" s="545"/>
      <c r="K34" s="144"/>
      <c r="L34" s="545"/>
      <c r="M34" s="144"/>
      <c r="N34" s="545"/>
    </row>
    <row r="35" spans="1:25" s="46" customFormat="1" ht="30" customHeight="1" x14ac:dyDescent="0.3">
      <c r="A35" s="190" t="s">
        <v>46</v>
      </c>
      <c r="B35" s="190"/>
      <c r="C35" s="85"/>
      <c r="D35" s="544">
        <v>6150</v>
      </c>
      <c r="E35" s="139"/>
      <c r="F35" s="544">
        <v>623</v>
      </c>
      <c r="G35" s="139"/>
      <c r="H35" s="544" t="s">
        <v>161</v>
      </c>
      <c r="I35" s="139"/>
      <c r="J35" s="544" t="s">
        <v>161</v>
      </c>
      <c r="K35" s="139"/>
      <c r="L35" s="544" t="s">
        <v>161</v>
      </c>
      <c r="M35" s="139"/>
      <c r="N35" s="544" t="s">
        <v>161</v>
      </c>
      <c r="P35" s="217"/>
      <c r="R35" s="217"/>
      <c r="T35" s="193"/>
      <c r="V35" s="193"/>
      <c r="W35" s="193"/>
      <c r="X35" s="217"/>
      <c r="Y35" s="217"/>
    </row>
    <row r="36" spans="1:25" s="103" customFormat="1" ht="30" customHeight="1" x14ac:dyDescent="0.3">
      <c r="A36" s="504" t="s">
        <v>47</v>
      </c>
      <c r="B36" s="504"/>
      <c r="C36" s="504"/>
      <c r="D36" s="544"/>
      <c r="E36" s="139"/>
      <c r="F36" s="544"/>
      <c r="G36" s="139"/>
      <c r="H36" s="544"/>
      <c r="I36" s="139"/>
      <c r="J36" s="544"/>
      <c r="K36" s="139"/>
      <c r="L36" s="544"/>
      <c r="M36" s="139"/>
      <c r="N36" s="544"/>
    </row>
    <row r="37" spans="1:25" s="91" customFormat="1" ht="37.5" customHeight="1" x14ac:dyDescent="0.3">
      <c r="A37" s="546" t="s">
        <v>170</v>
      </c>
      <c r="B37" s="546"/>
      <c r="C37" s="546"/>
      <c r="D37" s="545" t="s">
        <v>161</v>
      </c>
      <c r="E37" s="144"/>
      <c r="F37" s="545" t="s">
        <v>161</v>
      </c>
      <c r="G37" s="144"/>
      <c r="H37" s="548">
        <v>6816</v>
      </c>
      <c r="I37" s="144"/>
      <c r="J37" s="548">
        <v>730</v>
      </c>
      <c r="K37" s="144"/>
      <c r="L37" s="548">
        <v>7072</v>
      </c>
      <c r="M37" s="144"/>
      <c r="N37" s="548">
        <v>831</v>
      </c>
      <c r="P37" s="215"/>
      <c r="R37" s="215"/>
      <c r="T37" s="216"/>
      <c r="V37" s="216"/>
      <c r="W37" s="216"/>
      <c r="X37" s="215"/>
      <c r="Y37" s="215"/>
    </row>
    <row r="38" spans="1:25" s="94" customFormat="1" ht="30" customHeight="1" x14ac:dyDescent="0.3">
      <c r="A38" s="519" t="s">
        <v>171</v>
      </c>
      <c r="B38" s="519"/>
      <c r="C38" s="519"/>
      <c r="D38" s="545"/>
      <c r="E38" s="144"/>
      <c r="F38" s="545"/>
      <c r="G38" s="144"/>
      <c r="H38" s="548"/>
      <c r="I38" s="144"/>
      <c r="J38" s="548"/>
      <c r="K38" s="144"/>
      <c r="L38" s="548"/>
      <c r="M38" s="144"/>
      <c r="N38" s="548"/>
      <c r="R38" s="94" t="s">
        <v>172</v>
      </c>
    </row>
    <row r="39" spans="1:25" s="39" customFormat="1" ht="30" customHeight="1" x14ac:dyDescent="0.3">
      <c r="A39" s="547" t="s">
        <v>48</v>
      </c>
      <c r="B39" s="547"/>
      <c r="C39" s="547"/>
      <c r="D39" s="544">
        <v>10830</v>
      </c>
      <c r="E39" s="139"/>
      <c r="F39" s="544">
        <v>11408</v>
      </c>
      <c r="G39" s="139"/>
      <c r="H39" s="544">
        <v>10869</v>
      </c>
      <c r="I39" s="139"/>
      <c r="J39" s="544">
        <v>11574</v>
      </c>
      <c r="K39" s="139"/>
      <c r="L39" s="544">
        <v>11059</v>
      </c>
      <c r="M39" s="139"/>
      <c r="N39" s="544">
        <v>12977</v>
      </c>
      <c r="P39" s="217"/>
      <c r="R39" s="217"/>
      <c r="T39" s="193"/>
      <c r="V39" s="193"/>
      <c r="W39" s="193"/>
      <c r="X39" s="217"/>
      <c r="Y39" s="217"/>
    </row>
    <row r="40" spans="1:25" s="39" customFormat="1" ht="30" customHeight="1" x14ac:dyDescent="0.3">
      <c r="A40" s="504" t="s">
        <v>49</v>
      </c>
      <c r="B40" s="504"/>
      <c r="C40" s="504"/>
      <c r="D40" s="544"/>
      <c r="E40" s="139"/>
      <c r="F40" s="544"/>
      <c r="G40" s="139"/>
      <c r="H40" s="544"/>
      <c r="I40" s="139"/>
      <c r="J40" s="544"/>
      <c r="K40" s="139"/>
      <c r="L40" s="544"/>
      <c r="M40" s="139"/>
      <c r="N40" s="544"/>
    </row>
    <row r="41" spans="1:25" s="91" customFormat="1" ht="30" customHeight="1" x14ac:dyDescent="0.3">
      <c r="A41" s="509" t="s">
        <v>50</v>
      </c>
      <c r="B41" s="509"/>
      <c r="C41" s="509"/>
      <c r="D41" s="545">
        <v>11080</v>
      </c>
      <c r="E41" s="144"/>
      <c r="F41" s="545">
        <v>21349</v>
      </c>
      <c r="G41" s="144"/>
      <c r="H41" s="545">
        <v>11829</v>
      </c>
      <c r="I41" s="144"/>
      <c r="J41" s="545">
        <v>22896</v>
      </c>
      <c r="K41" s="144"/>
      <c r="L41" s="545">
        <v>13567</v>
      </c>
      <c r="M41" s="144"/>
      <c r="N41" s="545">
        <v>26708</v>
      </c>
      <c r="P41" s="215"/>
      <c r="R41" s="215"/>
      <c r="T41" s="216"/>
      <c r="V41" s="216"/>
      <c r="W41" s="216"/>
      <c r="X41" s="215"/>
      <c r="Y41" s="215"/>
    </row>
    <row r="42" spans="1:25" s="91" customFormat="1" ht="30" customHeight="1" x14ac:dyDescent="0.3">
      <c r="A42" s="519" t="s">
        <v>51</v>
      </c>
      <c r="B42" s="519"/>
      <c r="C42" s="519"/>
      <c r="D42" s="545"/>
      <c r="E42" s="144"/>
      <c r="F42" s="545"/>
      <c r="G42" s="144"/>
      <c r="H42" s="545"/>
      <c r="I42" s="144"/>
      <c r="J42" s="545"/>
      <c r="K42" s="144"/>
      <c r="L42" s="545"/>
      <c r="M42" s="144"/>
      <c r="N42" s="545"/>
    </row>
    <row r="43" spans="1:25" s="39" customFormat="1" ht="18.75" customHeight="1" thickBot="1" x14ac:dyDescent="0.35">
      <c r="A43" s="221"/>
      <c r="B43" s="221"/>
      <c r="C43" s="113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</row>
    <row r="44" spans="1:25" s="39" customFormat="1" ht="18.75" customHeight="1" x14ac:dyDescent="0.3">
      <c r="A44" s="187"/>
      <c r="B44" s="187"/>
      <c r="C44" s="85"/>
      <c r="D44" s="203"/>
      <c r="E44" s="204"/>
      <c r="F44" s="204"/>
      <c r="G44" s="204"/>
      <c r="H44" s="223"/>
      <c r="I44" s="204"/>
      <c r="J44" s="223"/>
      <c r="K44" s="204"/>
      <c r="L44" s="223"/>
      <c r="M44" s="204"/>
      <c r="N44" s="55" t="s">
        <v>173</v>
      </c>
    </row>
    <row r="45" spans="1:25" s="39" customFormat="1" ht="18.75" customHeight="1" x14ac:dyDescent="0.3">
      <c r="A45" s="95"/>
      <c r="B45" s="95"/>
      <c r="C45" s="85"/>
      <c r="D45" s="203"/>
      <c r="E45" s="204"/>
      <c r="F45" s="204"/>
      <c r="G45" s="204"/>
      <c r="H45" s="223"/>
      <c r="I45" s="204"/>
      <c r="J45" s="223"/>
      <c r="K45" s="204"/>
      <c r="L45" s="223"/>
      <c r="M45" s="204"/>
      <c r="N45" s="421" t="s">
        <v>148</v>
      </c>
    </row>
    <row r="46" spans="1:25" s="97" customFormat="1" ht="6" customHeight="1" x14ac:dyDescent="0.3">
      <c r="A46" s="224"/>
      <c r="B46" s="224"/>
      <c r="C46" s="188"/>
      <c r="D46" s="225"/>
      <c r="E46" s="225"/>
      <c r="F46" s="226"/>
      <c r="G46" s="226"/>
      <c r="H46" s="227"/>
      <c r="I46" s="227"/>
      <c r="J46" s="226"/>
      <c r="K46" s="226"/>
      <c r="L46" s="227"/>
      <c r="M46" s="227"/>
      <c r="N46" s="226"/>
    </row>
    <row r="47" spans="1:25" s="39" customFormat="1" ht="18.75" customHeight="1" x14ac:dyDescent="0.3">
      <c r="A47" s="190"/>
      <c r="B47" s="190"/>
      <c r="C47" s="85"/>
      <c r="D47" s="203"/>
      <c r="E47" s="204"/>
      <c r="F47" s="204"/>
      <c r="G47" s="204"/>
      <c r="H47" s="223"/>
      <c r="I47" s="204"/>
      <c r="J47" s="204"/>
      <c r="K47" s="204"/>
      <c r="L47" s="223"/>
      <c r="M47" s="204"/>
      <c r="N47" s="204"/>
    </row>
    <row r="48" spans="1:25" s="39" customFormat="1" ht="18.75" customHeight="1" x14ac:dyDescent="0.3">
      <c r="A48" s="95"/>
      <c r="B48" s="95"/>
      <c r="C48" s="85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</row>
    <row r="49" spans="1:14" s="39" customFormat="1" ht="6" customHeight="1" x14ac:dyDescent="0.3">
      <c r="A49" s="228"/>
      <c r="B49" s="228"/>
      <c r="C49" s="85"/>
      <c r="D49" s="204"/>
      <c r="E49" s="204"/>
      <c r="F49" s="204"/>
      <c r="G49" s="204"/>
      <c r="H49" s="223"/>
      <c r="I49" s="204"/>
      <c r="J49" s="204"/>
      <c r="K49" s="204"/>
      <c r="L49" s="223"/>
      <c r="M49" s="204"/>
      <c r="N49" s="204"/>
    </row>
    <row r="50" spans="1:14" s="39" customFormat="1" ht="18.75" customHeight="1" x14ac:dyDescent="0.3">
      <c r="A50" s="190"/>
      <c r="B50" s="190"/>
      <c r="C50" s="85"/>
      <c r="D50" s="204"/>
      <c r="E50" s="204"/>
      <c r="F50" s="204"/>
      <c r="G50" s="41"/>
      <c r="H50" s="204"/>
      <c r="I50" s="204"/>
      <c r="J50" s="204"/>
      <c r="K50" s="41"/>
      <c r="L50" s="204"/>
      <c r="M50" s="204"/>
      <c r="N50" s="204"/>
    </row>
    <row r="51" spans="1:14" s="39" customFormat="1" ht="18.75" customHeight="1" x14ac:dyDescent="0.3">
      <c r="A51" s="190"/>
      <c r="B51" s="190"/>
      <c r="C51" s="85"/>
      <c r="D51" s="229"/>
      <c r="E51" s="230"/>
      <c r="F51" s="229"/>
      <c r="G51" s="41"/>
      <c r="H51" s="229"/>
      <c r="I51" s="230"/>
      <c r="J51" s="229"/>
      <c r="K51" s="41"/>
      <c r="L51" s="229"/>
      <c r="M51" s="230"/>
      <c r="N51" s="229"/>
    </row>
    <row r="52" spans="1:14" s="39" customFormat="1" ht="18.75" customHeight="1" x14ac:dyDescent="0.3">
      <c r="A52" s="95"/>
      <c r="B52" s="95"/>
      <c r="C52" s="85"/>
    </row>
    <row r="53" spans="1:14" s="39" customFormat="1" ht="6" customHeight="1" x14ac:dyDescent="0.3">
      <c r="A53" s="84"/>
      <c r="B53" s="84"/>
      <c r="C53" s="85"/>
      <c r="D53" s="206"/>
      <c r="E53" s="206"/>
      <c r="F53" s="206"/>
      <c r="G53" s="41"/>
      <c r="H53" s="206"/>
      <c r="I53" s="206"/>
      <c r="J53" s="206"/>
      <c r="K53" s="41"/>
      <c r="L53" s="206"/>
      <c r="M53" s="206"/>
      <c r="N53" s="206"/>
    </row>
    <row r="54" spans="1:14" x14ac:dyDescent="0.3">
      <c r="A54" s="190"/>
      <c r="B54" s="190"/>
      <c r="C54" s="21"/>
      <c r="D54" s="207"/>
      <c r="E54" s="207"/>
      <c r="F54" s="207"/>
      <c r="G54" s="207"/>
      <c r="H54" s="207"/>
      <c r="I54" s="208"/>
      <c r="J54" s="207"/>
      <c r="K54" s="207"/>
      <c r="L54" s="207"/>
      <c r="M54" s="208"/>
      <c r="N54" s="207"/>
    </row>
    <row r="55" spans="1:14" x14ac:dyDescent="0.3">
      <c r="A55" s="95"/>
      <c r="B55" s="95"/>
      <c r="D55" s="21"/>
      <c r="E55" s="21"/>
      <c r="F55" s="21"/>
      <c r="G55" s="21"/>
      <c r="H55" s="22"/>
      <c r="I55" s="22"/>
      <c r="J55" s="72"/>
      <c r="K55" s="21"/>
      <c r="L55" s="22"/>
      <c r="M55" s="22"/>
      <c r="N55" s="72"/>
    </row>
    <row r="56" spans="1:14" ht="6" customHeight="1" x14ac:dyDescent="0.3">
      <c r="A56" s="190"/>
      <c r="B56" s="190"/>
    </row>
    <row r="57" spans="1:14" x14ac:dyDescent="0.3">
      <c r="A57" s="84"/>
      <c r="B57" s="84"/>
    </row>
    <row r="58" spans="1:14" x14ac:dyDescent="0.3">
      <c r="A58" s="190"/>
      <c r="B58" s="190"/>
    </row>
    <row r="59" spans="1:14" x14ac:dyDescent="0.3">
      <c r="A59" s="96"/>
      <c r="B59" s="96"/>
    </row>
    <row r="60" spans="1:14" x14ac:dyDescent="0.3">
      <c r="A60" s="96"/>
      <c r="B60" s="96"/>
    </row>
    <row r="61" spans="1:14" ht="6" customHeight="1" x14ac:dyDescent="0.3">
      <c r="A61" s="190"/>
      <c r="B61" s="190"/>
    </row>
    <row r="62" spans="1:14" x14ac:dyDescent="0.3">
      <c r="A62" s="190"/>
      <c r="B62" s="190"/>
    </row>
    <row r="63" spans="1:14" x14ac:dyDescent="0.3">
      <c r="A63" s="209"/>
      <c r="B63" s="209"/>
    </row>
    <row r="64" spans="1:14" ht="6" customHeight="1" x14ac:dyDescent="0.3">
      <c r="A64" s="210"/>
      <c r="B64" s="210"/>
    </row>
    <row r="65" spans="1:2" x14ac:dyDescent="0.3">
      <c r="A65" s="187"/>
      <c r="B65" s="187"/>
    </row>
    <row r="66" spans="1:2" x14ac:dyDescent="0.3">
      <c r="A66" s="209"/>
      <c r="B66" s="209"/>
    </row>
    <row r="67" spans="1:2" ht="6" customHeight="1" x14ac:dyDescent="0.3">
      <c r="A67" s="187"/>
      <c r="B67" s="187"/>
    </row>
    <row r="68" spans="1:2" x14ac:dyDescent="0.3">
      <c r="A68" s="187"/>
      <c r="B68" s="187"/>
    </row>
    <row r="69" spans="1:2" x14ac:dyDescent="0.3">
      <c r="A69" s="209"/>
      <c r="B69" s="209"/>
    </row>
  </sheetData>
  <mergeCells count="119">
    <mergeCell ref="A21:C21"/>
    <mergeCell ref="N37:N38"/>
    <mergeCell ref="H41:H42"/>
    <mergeCell ref="J41:J42"/>
    <mergeCell ref="L41:L42"/>
    <mergeCell ref="A42:C42"/>
    <mergeCell ref="N41:N42"/>
    <mergeCell ref="A39:C39"/>
    <mergeCell ref="A40:C40"/>
    <mergeCell ref="A41:C41"/>
    <mergeCell ref="A23:C23"/>
    <mergeCell ref="J37:J38"/>
    <mergeCell ref="H37:H38"/>
    <mergeCell ref="A36:C36"/>
    <mergeCell ref="A27:C27"/>
    <mergeCell ref="A25:C25"/>
    <mergeCell ref="L25:L26"/>
    <mergeCell ref="A37:C37"/>
    <mergeCell ref="A38:C38"/>
    <mergeCell ref="H35:H36"/>
    <mergeCell ref="J35:J36"/>
    <mergeCell ref="L35:L36"/>
    <mergeCell ref="H25:H26"/>
    <mergeCell ref="J25:J26"/>
    <mergeCell ref="A34:C34"/>
    <mergeCell ref="A29:C29"/>
    <mergeCell ref="H29:H30"/>
    <mergeCell ref="N29:N30"/>
    <mergeCell ref="A30:C30"/>
    <mergeCell ref="A31:C31"/>
    <mergeCell ref="A32:C32"/>
    <mergeCell ref="A33:C33"/>
    <mergeCell ref="J29:J30"/>
    <mergeCell ref="L29:L30"/>
    <mergeCell ref="F29:F30"/>
    <mergeCell ref="D29:D30"/>
    <mergeCell ref="N31:N32"/>
    <mergeCell ref="L31:L32"/>
    <mergeCell ref="J31:J32"/>
    <mergeCell ref="H31:H32"/>
    <mergeCell ref="F31:F32"/>
    <mergeCell ref="D31:D32"/>
    <mergeCell ref="A17:C17"/>
    <mergeCell ref="H19:H20"/>
    <mergeCell ref="J19:J20"/>
    <mergeCell ref="L19:L20"/>
    <mergeCell ref="N19:N20"/>
    <mergeCell ref="N17:N18"/>
    <mergeCell ref="L17:L18"/>
    <mergeCell ref="H17:H18"/>
    <mergeCell ref="J17:J18"/>
    <mergeCell ref="F17:F18"/>
    <mergeCell ref="D17:D18"/>
    <mergeCell ref="F19:F20"/>
    <mergeCell ref="D19:D20"/>
    <mergeCell ref="A13:C13"/>
    <mergeCell ref="H15:H16"/>
    <mergeCell ref="J15:J16"/>
    <mergeCell ref="C1:N1"/>
    <mergeCell ref="O1:Q1"/>
    <mergeCell ref="A5:C8"/>
    <mergeCell ref="D5:F5"/>
    <mergeCell ref="H5:J5"/>
    <mergeCell ref="L5:N5"/>
    <mergeCell ref="D6:F6"/>
    <mergeCell ref="H6:J6"/>
    <mergeCell ref="L6:N6"/>
    <mergeCell ref="N15:N16"/>
    <mergeCell ref="A16:C16"/>
    <mergeCell ref="L15:L16"/>
    <mergeCell ref="N13:N14"/>
    <mergeCell ref="F15:F16"/>
    <mergeCell ref="D15:D16"/>
    <mergeCell ref="L13:L14"/>
    <mergeCell ref="J13:J14"/>
    <mergeCell ref="H13:H14"/>
    <mergeCell ref="F13:F14"/>
    <mergeCell ref="D13:D14"/>
    <mergeCell ref="D21:D22"/>
    <mergeCell ref="N23:N24"/>
    <mergeCell ref="L23:L24"/>
    <mergeCell ref="J23:J24"/>
    <mergeCell ref="H23:H24"/>
    <mergeCell ref="F23:F24"/>
    <mergeCell ref="D23:D24"/>
    <mergeCell ref="N21:N22"/>
    <mergeCell ref="L21:L22"/>
    <mergeCell ref="J21:J22"/>
    <mergeCell ref="H21:H22"/>
    <mergeCell ref="F21:F22"/>
    <mergeCell ref="F25:F26"/>
    <mergeCell ref="D25:D26"/>
    <mergeCell ref="N27:N28"/>
    <mergeCell ref="L27:L28"/>
    <mergeCell ref="J27:J28"/>
    <mergeCell ref="H27:H28"/>
    <mergeCell ref="F27:F28"/>
    <mergeCell ref="D27:D28"/>
    <mergeCell ref="N25:N26"/>
    <mergeCell ref="D39:D40"/>
    <mergeCell ref="F41:F42"/>
    <mergeCell ref="D41:D42"/>
    <mergeCell ref="N39:N40"/>
    <mergeCell ref="L39:L40"/>
    <mergeCell ref="J39:J40"/>
    <mergeCell ref="H39:H40"/>
    <mergeCell ref="F39:F40"/>
    <mergeCell ref="D33:D34"/>
    <mergeCell ref="F35:F36"/>
    <mergeCell ref="D35:D36"/>
    <mergeCell ref="F37:F38"/>
    <mergeCell ref="D37:D38"/>
    <mergeCell ref="N33:N34"/>
    <mergeCell ref="L33:L34"/>
    <mergeCell ref="J33:J34"/>
    <mergeCell ref="H33:H34"/>
    <mergeCell ref="F33:F34"/>
    <mergeCell ref="N35:N36"/>
    <mergeCell ref="L37:L38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tabColor rgb="FFEE6EE8"/>
  </sheetPr>
  <dimension ref="A1:R41"/>
  <sheetViews>
    <sheetView tabSelected="1" view="pageBreakPreview" topLeftCell="A19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29.5703125" style="16" customWidth="1"/>
    <col min="4" max="4" width="7.140625" style="16" customWidth="1"/>
    <col min="5" max="5" width="1.7109375" style="16" customWidth="1"/>
    <col min="6" max="6" width="28.5703125" style="16" customWidth="1"/>
    <col min="7" max="7" width="1.7109375" style="16" customWidth="1"/>
    <col min="8" max="8" width="14.28515625" style="16" customWidth="1"/>
    <col min="9" max="9" width="1.7109375" style="16" customWidth="1"/>
    <col min="10" max="10" width="28.5703125" style="16" customWidth="1"/>
    <col min="11" max="11" width="1.7109375" style="16" customWidth="1"/>
    <col min="12" max="12" width="14.28515625" style="14" customWidth="1"/>
    <col min="13" max="13" width="1.7109375" style="14" customWidth="1"/>
    <col min="14" max="14" width="28.5703125" style="15" customWidth="1"/>
    <col min="15" max="16384" width="12.42578125" style="16"/>
  </cols>
  <sheetData>
    <row r="1" spans="1:18" s="71" customFormat="1" ht="18.75" customHeight="1" x14ac:dyDescent="0.3">
      <c r="A1" s="118" t="s">
        <v>112</v>
      </c>
      <c r="B1" s="118" t="s">
        <v>80</v>
      </c>
      <c r="C1" s="70" t="s">
        <v>207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8" s="427" customFormat="1" ht="18.75" customHeight="1" x14ac:dyDescent="0.3">
      <c r="A2" s="429" t="s">
        <v>113</v>
      </c>
      <c r="B2" s="429" t="s">
        <v>80</v>
      </c>
      <c r="C2" s="530" t="s">
        <v>208</v>
      </c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18" s="57" customFormat="1" ht="11.25" customHeight="1" thickBot="1" x14ac:dyDescent="0.35">
      <c r="L3" s="119"/>
      <c r="M3" s="119"/>
      <c r="N3" s="120"/>
    </row>
    <row r="4" spans="1:18" s="57" customFormat="1" ht="9" customHeight="1" x14ac:dyDescent="0.3">
      <c r="A4" s="121"/>
      <c r="B4" s="121"/>
      <c r="C4" s="121"/>
      <c r="D4" s="121"/>
      <c r="E4" s="121"/>
      <c r="F4" s="122"/>
      <c r="G4" s="122"/>
      <c r="H4" s="122"/>
      <c r="I4" s="122"/>
      <c r="J4" s="122"/>
      <c r="K4" s="122"/>
      <c r="L4" s="123"/>
      <c r="M4" s="123"/>
      <c r="N4" s="124"/>
    </row>
    <row r="5" spans="1:18" s="57" customFormat="1" ht="37.5" customHeight="1" x14ac:dyDescent="0.3">
      <c r="A5" s="125" t="s">
        <v>257</v>
      </c>
      <c r="B5" s="125"/>
      <c r="C5" s="126"/>
      <c r="D5" s="157"/>
      <c r="E5" s="158"/>
      <c r="F5" s="159" t="s">
        <v>230</v>
      </c>
      <c r="G5" s="159"/>
      <c r="H5" s="160"/>
      <c r="I5" s="159"/>
      <c r="J5" s="159" t="s">
        <v>231</v>
      </c>
      <c r="K5" s="159"/>
      <c r="L5" s="160"/>
      <c r="M5" s="159"/>
      <c r="N5" s="159">
        <v>2024</v>
      </c>
    </row>
    <row r="6" spans="1:18" s="57" customFormat="1" ht="9" customHeight="1" thickBot="1" x14ac:dyDescent="0.35">
      <c r="A6" s="130"/>
      <c r="B6" s="130"/>
      <c r="C6" s="131"/>
      <c r="D6" s="131"/>
      <c r="E6" s="131"/>
      <c r="F6" s="161"/>
      <c r="G6" s="161"/>
      <c r="H6" s="161"/>
      <c r="I6" s="161"/>
      <c r="J6" s="162"/>
      <c r="K6" s="161"/>
      <c r="L6" s="163"/>
      <c r="M6" s="164"/>
      <c r="N6" s="162"/>
    </row>
    <row r="7" spans="1:18" ht="18.75" customHeight="1" x14ac:dyDescent="0.3">
      <c r="A7" s="133"/>
      <c r="B7" s="133"/>
      <c r="C7" s="57"/>
      <c r="D7" s="57"/>
      <c r="E7" s="57"/>
      <c r="F7" s="57"/>
      <c r="G7" s="57"/>
      <c r="H7" s="57"/>
      <c r="I7" s="57"/>
      <c r="J7" s="120"/>
      <c r="K7" s="57"/>
      <c r="L7" s="133"/>
      <c r="M7" s="119"/>
      <c r="N7" s="120"/>
    </row>
    <row r="8" spans="1:18" s="149" customFormat="1" ht="30" customHeight="1" x14ac:dyDescent="0.25">
      <c r="A8" s="134" t="s">
        <v>0</v>
      </c>
      <c r="B8" s="134"/>
      <c r="C8" s="135"/>
      <c r="E8" s="165"/>
      <c r="F8" s="485">
        <v>43417</v>
      </c>
      <c r="G8" s="485"/>
      <c r="H8" s="485"/>
      <c r="I8" s="485"/>
      <c r="J8" s="485">
        <v>30558</v>
      </c>
      <c r="K8" s="485"/>
      <c r="L8" s="485"/>
      <c r="M8" s="485"/>
      <c r="N8" s="485">
        <v>29903</v>
      </c>
      <c r="P8" s="166"/>
      <c r="Q8" s="167"/>
      <c r="R8" s="166"/>
    </row>
    <row r="9" spans="1:18" ht="18.75" customHeight="1" x14ac:dyDescent="0.3">
      <c r="A9" s="133"/>
      <c r="B9" s="133"/>
      <c r="C9" s="57"/>
      <c r="E9" s="168"/>
      <c r="F9" s="486"/>
      <c r="G9" s="487"/>
      <c r="H9" s="487"/>
      <c r="I9" s="487"/>
      <c r="J9" s="486"/>
      <c r="K9" s="487"/>
      <c r="L9" s="487"/>
      <c r="M9" s="487"/>
      <c r="N9" s="486"/>
    </row>
    <row r="10" spans="1:18" s="150" customFormat="1" ht="30" customHeight="1" x14ac:dyDescent="0.25">
      <c r="A10" s="141" t="s">
        <v>1</v>
      </c>
      <c r="B10" s="142"/>
      <c r="C10" s="143"/>
      <c r="E10" s="170"/>
      <c r="F10" s="488">
        <v>4794</v>
      </c>
      <c r="G10" s="488"/>
      <c r="H10" s="488"/>
      <c r="I10" s="488"/>
      <c r="J10" s="488">
        <v>3513</v>
      </c>
      <c r="K10" s="488"/>
      <c r="L10" s="488"/>
      <c r="M10" s="488"/>
      <c r="N10" s="488">
        <v>3577</v>
      </c>
      <c r="P10" s="171"/>
      <c r="Q10" s="172"/>
      <c r="R10" s="171"/>
    </row>
    <row r="11" spans="1:18" s="149" customFormat="1" ht="30" customHeight="1" x14ac:dyDescent="0.25">
      <c r="A11" s="148" t="s">
        <v>2</v>
      </c>
      <c r="C11" s="135"/>
      <c r="E11" s="173"/>
      <c r="F11" s="489">
        <v>1589</v>
      </c>
      <c r="G11" s="489"/>
      <c r="H11" s="489"/>
      <c r="I11" s="489"/>
      <c r="J11" s="489">
        <v>807</v>
      </c>
      <c r="K11" s="489"/>
      <c r="L11" s="489"/>
      <c r="M11" s="489"/>
      <c r="N11" s="489">
        <v>859</v>
      </c>
      <c r="P11" s="166"/>
      <c r="Q11" s="167"/>
      <c r="R11" s="166"/>
    </row>
    <row r="12" spans="1:18" s="150" customFormat="1" ht="30" customHeight="1" x14ac:dyDescent="0.25">
      <c r="A12" s="141" t="s">
        <v>3</v>
      </c>
      <c r="C12" s="143"/>
      <c r="E12" s="170"/>
      <c r="F12" s="488">
        <v>915</v>
      </c>
      <c r="G12" s="488"/>
      <c r="H12" s="488"/>
      <c r="I12" s="488"/>
      <c r="J12" s="488">
        <v>638</v>
      </c>
      <c r="K12" s="488"/>
      <c r="L12" s="488"/>
      <c r="M12" s="488"/>
      <c r="N12" s="488">
        <v>822</v>
      </c>
      <c r="P12" s="171"/>
      <c r="Q12" s="172"/>
      <c r="R12" s="171"/>
    </row>
    <row r="13" spans="1:18" s="149" customFormat="1" ht="30" customHeight="1" x14ac:dyDescent="0.25">
      <c r="A13" s="148" t="s">
        <v>4</v>
      </c>
      <c r="C13" s="135"/>
      <c r="E13" s="173"/>
      <c r="F13" s="489">
        <v>2061</v>
      </c>
      <c r="G13" s="489"/>
      <c r="H13" s="489"/>
      <c r="I13" s="489"/>
      <c r="J13" s="489">
        <v>1073</v>
      </c>
      <c r="K13" s="489"/>
      <c r="L13" s="489"/>
      <c r="M13" s="489"/>
      <c r="N13" s="489">
        <v>1084</v>
      </c>
      <c r="P13" s="166"/>
      <c r="Q13" s="167"/>
      <c r="R13" s="166"/>
    </row>
    <row r="14" spans="1:18" s="150" customFormat="1" ht="30" customHeight="1" x14ac:dyDescent="0.25">
      <c r="A14" s="141" t="s">
        <v>5</v>
      </c>
      <c r="C14" s="143"/>
      <c r="E14" s="170"/>
      <c r="F14" s="488">
        <v>2153</v>
      </c>
      <c r="G14" s="488"/>
      <c r="H14" s="488"/>
      <c r="I14" s="488"/>
      <c r="J14" s="488">
        <v>1214</v>
      </c>
      <c r="K14" s="488"/>
      <c r="L14" s="488"/>
      <c r="M14" s="488"/>
      <c r="N14" s="488">
        <v>1161</v>
      </c>
      <c r="P14" s="171"/>
      <c r="Q14" s="172"/>
      <c r="R14" s="171"/>
    </row>
    <row r="15" spans="1:18" s="149" customFormat="1" ht="30" customHeight="1" x14ac:dyDescent="0.25">
      <c r="A15" s="148" t="s">
        <v>6</v>
      </c>
      <c r="C15" s="135"/>
      <c r="E15" s="173"/>
      <c r="F15" s="489">
        <v>3054</v>
      </c>
      <c r="G15" s="489"/>
      <c r="H15" s="489"/>
      <c r="I15" s="489"/>
      <c r="J15" s="489">
        <v>2212</v>
      </c>
      <c r="K15" s="489"/>
      <c r="L15" s="489"/>
      <c r="M15" s="489"/>
      <c r="N15" s="489">
        <v>2122</v>
      </c>
      <c r="P15" s="166"/>
      <c r="Q15" s="167"/>
      <c r="R15" s="166"/>
    </row>
    <row r="16" spans="1:18" s="150" customFormat="1" ht="30" customHeight="1" x14ac:dyDescent="0.25">
      <c r="A16" s="141" t="s">
        <v>7</v>
      </c>
      <c r="C16" s="143"/>
      <c r="E16" s="170"/>
      <c r="F16" s="488">
        <v>4152</v>
      </c>
      <c r="G16" s="488"/>
      <c r="H16" s="488"/>
      <c r="I16" s="488"/>
      <c r="J16" s="488">
        <v>3062</v>
      </c>
      <c r="K16" s="488"/>
      <c r="L16" s="488"/>
      <c r="M16" s="488"/>
      <c r="N16" s="488">
        <v>2663</v>
      </c>
      <c r="P16" s="171"/>
      <c r="Q16" s="172"/>
      <c r="R16" s="171"/>
    </row>
    <row r="17" spans="1:18" s="149" customFormat="1" ht="30" customHeight="1" x14ac:dyDescent="0.25">
      <c r="A17" s="148" t="s">
        <v>8</v>
      </c>
      <c r="C17" s="135"/>
      <c r="E17" s="173"/>
      <c r="F17" s="489">
        <v>2321</v>
      </c>
      <c r="G17" s="489"/>
      <c r="H17" s="489"/>
      <c r="I17" s="489"/>
      <c r="J17" s="489">
        <v>1777</v>
      </c>
      <c r="K17" s="489"/>
      <c r="L17" s="489"/>
      <c r="M17" s="489"/>
      <c r="N17" s="489">
        <v>1574</v>
      </c>
      <c r="P17" s="166"/>
      <c r="Q17" s="167"/>
      <c r="R17" s="166"/>
    </row>
    <row r="18" spans="1:18" s="150" customFormat="1" ht="30" customHeight="1" x14ac:dyDescent="0.25">
      <c r="A18" s="141" t="s">
        <v>9</v>
      </c>
      <c r="C18" s="143"/>
      <c r="E18" s="170"/>
      <c r="F18" s="488">
        <v>2585</v>
      </c>
      <c r="G18" s="488"/>
      <c r="H18" s="488"/>
      <c r="I18" s="488"/>
      <c r="J18" s="488">
        <v>1864</v>
      </c>
      <c r="K18" s="488"/>
      <c r="L18" s="488"/>
      <c r="M18" s="488"/>
      <c r="N18" s="488">
        <v>1980</v>
      </c>
      <c r="P18" s="171"/>
      <c r="Q18" s="172"/>
      <c r="R18" s="171"/>
    </row>
    <row r="19" spans="1:18" s="149" customFormat="1" ht="30" customHeight="1" x14ac:dyDescent="0.25">
      <c r="A19" s="148" t="s">
        <v>10</v>
      </c>
      <c r="C19" s="135"/>
      <c r="E19" s="173"/>
      <c r="F19" s="489">
        <v>1287</v>
      </c>
      <c r="G19" s="489"/>
      <c r="H19" s="489"/>
      <c r="I19" s="489"/>
      <c r="J19" s="489">
        <v>1022</v>
      </c>
      <c r="K19" s="489"/>
      <c r="L19" s="489"/>
      <c r="M19" s="489"/>
      <c r="N19" s="489">
        <v>1137</v>
      </c>
      <c r="P19" s="166"/>
      <c r="Q19" s="167"/>
      <c r="R19" s="166"/>
    </row>
    <row r="20" spans="1:18" s="150" customFormat="1" ht="30" customHeight="1" x14ac:dyDescent="0.25">
      <c r="A20" s="141" t="s">
        <v>11</v>
      </c>
      <c r="C20" s="143"/>
      <c r="E20" s="170"/>
      <c r="F20" s="488">
        <v>2454</v>
      </c>
      <c r="G20" s="488"/>
      <c r="H20" s="488"/>
      <c r="I20" s="488"/>
      <c r="J20" s="488">
        <v>1467</v>
      </c>
      <c r="K20" s="488"/>
      <c r="L20" s="488"/>
      <c r="M20" s="488"/>
      <c r="N20" s="488">
        <v>1443</v>
      </c>
      <c r="P20" s="171"/>
      <c r="Q20" s="172"/>
      <c r="R20" s="171"/>
    </row>
    <row r="21" spans="1:18" s="149" customFormat="1" ht="30" customHeight="1" x14ac:dyDescent="0.25">
      <c r="A21" s="148" t="s">
        <v>12</v>
      </c>
      <c r="C21" s="135"/>
      <c r="E21" s="173"/>
      <c r="F21" s="489">
        <v>10937</v>
      </c>
      <c r="G21" s="489"/>
      <c r="H21" s="489"/>
      <c r="I21" s="489"/>
      <c r="J21" s="489">
        <v>8337</v>
      </c>
      <c r="K21" s="489"/>
      <c r="L21" s="489"/>
      <c r="M21" s="489"/>
      <c r="N21" s="489">
        <v>7980</v>
      </c>
      <c r="P21" s="166"/>
      <c r="Q21" s="167"/>
      <c r="R21" s="166"/>
    </row>
    <row r="22" spans="1:18" s="150" customFormat="1" ht="30" customHeight="1" x14ac:dyDescent="0.25">
      <c r="A22" s="141" t="s">
        <v>13</v>
      </c>
      <c r="C22" s="143"/>
      <c r="E22" s="170"/>
      <c r="F22" s="488">
        <v>1793</v>
      </c>
      <c r="G22" s="488"/>
      <c r="H22" s="488"/>
      <c r="I22" s="488"/>
      <c r="J22" s="488">
        <v>1240</v>
      </c>
      <c r="K22" s="488"/>
      <c r="L22" s="488"/>
      <c r="M22" s="488"/>
      <c r="N22" s="488">
        <v>1307</v>
      </c>
      <c r="P22" s="171"/>
      <c r="Q22" s="172"/>
      <c r="R22" s="171"/>
    </row>
    <row r="23" spans="1:18" s="149" customFormat="1" ht="30" customHeight="1" x14ac:dyDescent="0.25">
      <c r="A23" s="148" t="s">
        <v>232</v>
      </c>
      <c r="C23" s="135"/>
      <c r="E23" s="173"/>
      <c r="F23" s="489">
        <v>3321</v>
      </c>
      <c r="G23" s="489"/>
      <c r="H23" s="489"/>
      <c r="I23" s="489"/>
      <c r="J23" s="489">
        <v>2332</v>
      </c>
      <c r="K23" s="489"/>
      <c r="L23" s="489"/>
      <c r="M23" s="489"/>
      <c r="N23" s="489">
        <v>2194</v>
      </c>
      <c r="P23" s="166"/>
      <c r="Q23" s="167"/>
      <c r="R23" s="166"/>
    </row>
    <row r="24" spans="1:18" s="150" customFormat="1" ht="30" customHeight="1" x14ac:dyDescent="0.25">
      <c r="A24" s="141" t="s">
        <v>15</v>
      </c>
      <c r="C24" s="143"/>
      <c r="E24" s="170"/>
      <c r="F24" s="488">
        <v>1</v>
      </c>
      <c r="G24" s="488"/>
      <c r="H24" s="488"/>
      <c r="I24" s="488"/>
      <c r="J24" s="488">
        <v>0</v>
      </c>
      <c r="K24" s="488"/>
      <c r="L24" s="488"/>
      <c r="M24" s="488"/>
      <c r="N24" s="488">
        <v>0</v>
      </c>
      <c r="P24" s="171"/>
      <c r="Q24" s="172"/>
      <c r="R24" s="171"/>
    </row>
    <row r="25" spans="1:18" ht="18.75" customHeight="1" thickBot="1" x14ac:dyDescent="0.35">
      <c r="A25" s="152"/>
      <c r="B25" s="152"/>
      <c r="C25" s="153"/>
      <c r="D25" s="52"/>
      <c r="E25" s="153"/>
      <c r="F25" s="174"/>
      <c r="G25" s="153"/>
      <c r="H25" s="153"/>
      <c r="I25" s="52"/>
      <c r="J25" s="52"/>
      <c r="K25" s="175"/>
      <c r="L25" s="174"/>
      <c r="M25" s="176"/>
      <c r="N25" s="177"/>
    </row>
    <row r="26" spans="1:18" ht="18.75" customHeight="1" x14ac:dyDescent="0.3">
      <c r="B26" s="56"/>
      <c r="C26" s="57"/>
      <c r="D26" s="58"/>
      <c r="E26" s="57"/>
      <c r="F26" s="156"/>
      <c r="G26" s="57"/>
      <c r="H26" s="57"/>
      <c r="I26" s="58"/>
      <c r="J26" s="58"/>
      <c r="K26" s="59"/>
      <c r="L26" s="156"/>
      <c r="M26" s="60"/>
      <c r="N26" s="55" t="s">
        <v>173</v>
      </c>
    </row>
    <row r="27" spans="1:18" ht="18.75" customHeight="1" x14ac:dyDescent="0.3">
      <c r="A27" s="63" t="s">
        <v>241</v>
      </c>
      <c r="B27" s="7"/>
      <c r="C27" s="57"/>
      <c r="D27" s="58"/>
      <c r="E27" s="57"/>
      <c r="F27" s="156"/>
      <c r="G27" s="57"/>
      <c r="H27" s="57"/>
      <c r="I27" s="58"/>
      <c r="J27" s="58"/>
      <c r="K27" s="59"/>
      <c r="L27" s="156"/>
      <c r="M27" s="62"/>
      <c r="N27" s="421" t="s">
        <v>148</v>
      </c>
    </row>
    <row r="28" spans="1:18" ht="18.75" customHeight="1" x14ac:dyDescent="0.3">
      <c r="A28" s="63" t="s">
        <v>233</v>
      </c>
      <c r="B28" s="7"/>
      <c r="C28" s="57"/>
      <c r="D28" s="58"/>
      <c r="E28" s="57"/>
      <c r="F28" s="156"/>
      <c r="G28" s="57"/>
      <c r="H28" s="57"/>
      <c r="I28" s="58"/>
      <c r="J28" s="58"/>
      <c r="K28" s="59"/>
      <c r="L28" s="156"/>
      <c r="M28" s="62"/>
      <c r="N28" s="2"/>
    </row>
    <row r="29" spans="1:18" ht="18.75" customHeight="1" x14ac:dyDescent="0.3">
      <c r="A29" s="56" t="s">
        <v>234</v>
      </c>
      <c r="B29" s="7"/>
      <c r="C29" s="57"/>
      <c r="D29" s="58"/>
      <c r="E29" s="57"/>
      <c r="F29" s="156"/>
      <c r="G29" s="57"/>
      <c r="H29" s="57"/>
      <c r="I29" s="58"/>
      <c r="J29" s="58"/>
      <c r="K29" s="59"/>
      <c r="L29" s="156"/>
      <c r="M29" s="62"/>
      <c r="N29" s="2"/>
    </row>
    <row r="30" spans="1:18" ht="18.75" customHeight="1" x14ac:dyDescent="0.3">
      <c r="A30" s="437" t="s">
        <v>75</v>
      </c>
      <c r="B30" s="7"/>
      <c r="C30" s="57"/>
      <c r="D30" s="58"/>
      <c r="E30" s="57"/>
      <c r="F30" s="156"/>
      <c r="G30" s="57"/>
      <c r="H30" s="57"/>
      <c r="I30" s="58"/>
      <c r="J30" s="58"/>
      <c r="K30" s="59"/>
      <c r="L30" s="156"/>
      <c r="M30" s="62"/>
      <c r="N30" s="2"/>
    </row>
    <row r="31" spans="1:18" ht="18.75" customHeight="1" x14ac:dyDescent="0.3"/>
    <row r="32" spans="1:18" ht="37.5" customHeight="1" x14ac:dyDescent="0.3">
      <c r="A32" s="532" t="s">
        <v>149</v>
      </c>
      <c r="B32" s="532"/>
      <c r="C32" s="532"/>
      <c r="D32" s="532"/>
      <c r="E32" s="532"/>
      <c r="F32" s="532"/>
      <c r="G32" s="532"/>
      <c r="H32" s="532"/>
      <c r="I32" s="532"/>
      <c r="J32" s="532"/>
      <c r="K32" s="532"/>
      <c r="L32" s="532"/>
      <c r="M32" s="532"/>
      <c r="N32" s="532"/>
    </row>
    <row r="33" spans="1:14" ht="18.75" customHeight="1" x14ac:dyDescent="0.3">
      <c r="A33" s="533" t="s">
        <v>150</v>
      </c>
      <c r="B33" s="533"/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</row>
    <row r="35" spans="1:14" x14ac:dyDescent="0.3">
      <c r="A35" s="178" t="s">
        <v>227</v>
      </c>
    </row>
    <row r="36" spans="1:14" x14ac:dyDescent="0.3">
      <c r="A36" s="438" t="s">
        <v>223</v>
      </c>
    </row>
    <row r="37" spans="1:14" x14ac:dyDescent="0.3">
      <c r="A37" s="439" t="s">
        <v>224</v>
      </c>
    </row>
    <row r="39" spans="1:14" x14ac:dyDescent="0.3">
      <c r="A39" s="178" t="s">
        <v>228</v>
      </c>
    </row>
    <row r="40" spans="1:14" x14ac:dyDescent="0.3">
      <c r="A40" s="438" t="s">
        <v>225</v>
      </c>
    </row>
    <row r="41" spans="1:14" x14ac:dyDescent="0.3">
      <c r="A41" s="439" t="s">
        <v>226</v>
      </c>
    </row>
  </sheetData>
  <mergeCells count="3">
    <mergeCell ref="C2:N2"/>
    <mergeCell ref="A33:N33"/>
    <mergeCell ref="A32:N32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tabColor rgb="FFEE6EE8"/>
  </sheetPr>
  <dimension ref="A1:V67"/>
  <sheetViews>
    <sheetView tabSelected="1" view="pageBreakPreview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31.140625" style="18" customWidth="1"/>
    <col min="4" max="4" width="20" style="18" customWidth="1"/>
    <col min="5" max="5" width="1.7109375" style="18" customWidth="1"/>
    <col min="6" max="6" width="20" style="18" customWidth="1"/>
    <col min="7" max="7" width="1.7109375" style="18" customWidth="1"/>
    <col min="8" max="8" width="20" style="20" customWidth="1"/>
    <col min="9" max="9" width="1.7109375" style="20" customWidth="1"/>
    <col min="10" max="10" width="20" style="110" customWidth="1"/>
    <col min="11" max="11" width="1.7109375" style="18" customWidth="1"/>
    <col min="12" max="12" width="20" style="20" customWidth="1"/>
    <col min="13" max="13" width="1.7109375" style="20" customWidth="1"/>
    <col min="14" max="14" width="20" style="110" customWidth="1"/>
    <col min="15" max="16384" width="12.42578125" style="18"/>
  </cols>
  <sheetData>
    <row r="1" spans="1:14" s="71" customFormat="1" ht="18.75" customHeight="1" x14ac:dyDescent="0.3">
      <c r="A1" s="118" t="s">
        <v>114</v>
      </c>
      <c r="B1" s="118" t="s">
        <v>80</v>
      </c>
      <c r="C1" s="524" t="s">
        <v>205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14" s="427" customFormat="1" ht="18.75" customHeight="1" x14ac:dyDescent="0.3">
      <c r="A2" s="426" t="s">
        <v>115</v>
      </c>
      <c r="B2" s="426" t="s">
        <v>80</v>
      </c>
      <c r="C2" s="426" t="s">
        <v>206</v>
      </c>
      <c r="D2" s="444"/>
      <c r="E2" s="444"/>
      <c r="F2" s="444"/>
      <c r="G2" s="444"/>
      <c r="H2" s="435"/>
      <c r="I2" s="435"/>
      <c r="J2" s="435"/>
      <c r="K2" s="444"/>
      <c r="L2" s="435"/>
      <c r="M2" s="435"/>
      <c r="N2" s="435"/>
    </row>
    <row r="3" spans="1:14" s="21" customFormat="1" ht="11.25" customHeight="1" thickBot="1" x14ac:dyDescent="0.35">
      <c r="H3" s="22"/>
      <c r="I3" s="22"/>
      <c r="J3" s="72"/>
      <c r="L3" s="22"/>
      <c r="M3" s="22"/>
      <c r="N3" s="72"/>
    </row>
    <row r="4" spans="1:14" s="21" customFormat="1" ht="9" customHeight="1" x14ac:dyDescent="0.3">
      <c r="A4" s="23"/>
      <c r="B4" s="23"/>
      <c r="C4" s="23"/>
      <c r="D4" s="26"/>
      <c r="E4" s="26"/>
      <c r="F4" s="26"/>
      <c r="G4" s="26"/>
      <c r="H4" s="25"/>
      <c r="I4" s="25"/>
      <c r="J4" s="73"/>
      <c r="K4" s="26"/>
      <c r="L4" s="25"/>
      <c r="M4" s="25"/>
      <c r="N4" s="73"/>
    </row>
    <row r="5" spans="1:14" s="21" customFormat="1" ht="18.75" customHeight="1" x14ac:dyDescent="0.3">
      <c r="A5" s="518" t="s">
        <v>265</v>
      </c>
      <c r="B5" s="518"/>
      <c r="C5" s="518"/>
      <c r="D5" s="517">
        <v>2022</v>
      </c>
      <c r="E5" s="517"/>
      <c r="F5" s="517"/>
      <c r="G5" s="74"/>
      <c r="H5" s="517">
        <v>2023</v>
      </c>
      <c r="I5" s="517"/>
      <c r="J5" s="517"/>
      <c r="K5" s="74"/>
      <c r="L5" s="517">
        <v>2024</v>
      </c>
      <c r="M5" s="517"/>
      <c r="N5" s="517"/>
    </row>
    <row r="6" spans="1:14" s="21" customFormat="1" ht="9" customHeight="1" x14ac:dyDescent="0.3">
      <c r="A6" s="518"/>
      <c r="B6" s="518"/>
      <c r="C6" s="518"/>
      <c r="D6" s="520"/>
      <c r="E6" s="520"/>
      <c r="F6" s="520"/>
      <c r="G6" s="74"/>
      <c r="H6" s="520"/>
      <c r="I6" s="520"/>
      <c r="J6" s="520"/>
      <c r="K6" s="74"/>
      <c r="L6" s="520"/>
      <c r="M6" s="520"/>
      <c r="N6" s="520"/>
    </row>
    <row r="7" spans="1:14" s="21" customFormat="1" ht="9" customHeight="1" x14ac:dyDescent="0.3">
      <c r="A7" s="518"/>
      <c r="B7" s="518"/>
      <c r="C7" s="518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14" s="21" customFormat="1" ht="75" customHeight="1" x14ac:dyDescent="0.3">
      <c r="A8" s="518"/>
      <c r="B8" s="518"/>
      <c r="C8" s="518"/>
      <c r="D8" s="180" t="s">
        <v>266</v>
      </c>
      <c r="E8" s="181"/>
      <c r="F8" s="181" t="s">
        <v>267</v>
      </c>
      <c r="G8" s="181"/>
      <c r="H8" s="180" t="s">
        <v>266</v>
      </c>
      <c r="I8" s="181"/>
      <c r="J8" s="181" t="s">
        <v>267</v>
      </c>
      <c r="K8" s="181"/>
      <c r="L8" s="180" t="s">
        <v>266</v>
      </c>
      <c r="M8" s="181"/>
      <c r="N8" s="181" t="s">
        <v>267</v>
      </c>
    </row>
    <row r="9" spans="1:14" s="21" customFormat="1" ht="9" customHeight="1" thickBot="1" x14ac:dyDescent="0.35">
      <c r="A9" s="31"/>
      <c r="B9" s="31"/>
      <c r="C9" s="78"/>
      <c r="D9" s="78"/>
      <c r="E9" s="78"/>
      <c r="F9" s="78"/>
      <c r="G9" s="78"/>
      <c r="H9" s="31"/>
      <c r="I9" s="31"/>
      <c r="J9" s="79"/>
      <c r="K9" s="78"/>
      <c r="L9" s="31"/>
      <c r="M9" s="31"/>
      <c r="N9" s="79"/>
    </row>
    <row r="10" spans="1:14" ht="18.75" customHeight="1" x14ac:dyDescent="0.3">
      <c r="A10" s="34"/>
      <c r="B10" s="34"/>
      <c r="C10" s="21"/>
      <c r="D10" s="21"/>
      <c r="E10" s="21"/>
      <c r="F10" s="21"/>
      <c r="G10" s="21"/>
      <c r="H10" s="34"/>
      <c r="I10" s="34"/>
      <c r="J10" s="72"/>
      <c r="K10" s="21"/>
      <c r="L10" s="34"/>
      <c r="M10" s="34"/>
      <c r="N10" s="72"/>
    </row>
    <row r="11" spans="1:14" s="68" customFormat="1" ht="30" customHeight="1" x14ac:dyDescent="0.25">
      <c r="A11" s="68" t="s">
        <v>244</v>
      </c>
      <c r="C11" s="182"/>
      <c r="D11" s="490">
        <v>41898</v>
      </c>
      <c r="E11" s="490"/>
      <c r="F11" s="490">
        <v>700004</v>
      </c>
      <c r="G11" s="490"/>
      <c r="H11" s="490">
        <v>42123</v>
      </c>
      <c r="I11" s="490"/>
      <c r="J11" s="490">
        <v>723080</v>
      </c>
      <c r="K11" s="490"/>
      <c r="L11" s="490">
        <f>SUM(L13:L26)</f>
        <v>43662</v>
      </c>
      <c r="M11" s="490">
        <f t="shared" ref="M11:N11" si="0">SUM(M13:M26)</f>
        <v>0</v>
      </c>
      <c r="N11" s="490">
        <f t="shared" si="0"/>
        <v>782007</v>
      </c>
    </row>
    <row r="12" spans="1:14" s="39" customFormat="1" ht="18.75" customHeight="1" x14ac:dyDescent="0.3">
      <c r="A12" s="84"/>
      <c r="B12" s="84"/>
      <c r="C12" s="85"/>
      <c r="D12" s="482"/>
      <c r="E12" s="482"/>
      <c r="F12" s="482"/>
      <c r="G12" s="490"/>
      <c r="H12" s="482"/>
      <c r="I12" s="482"/>
      <c r="J12" s="482"/>
      <c r="K12" s="490"/>
      <c r="L12" s="482"/>
      <c r="M12" s="482"/>
      <c r="N12" s="482"/>
    </row>
    <row r="13" spans="1:14" s="91" customFormat="1" ht="30" customHeight="1" x14ac:dyDescent="0.3">
      <c r="A13" s="184" t="s">
        <v>68</v>
      </c>
      <c r="B13" s="184"/>
      <c r="C13" s="185"/>
      <c r="D13" s="549">
        <v>18025</v>
      </c>
      <c r="E13" s="483"/>
      <c r="F13" s="549">
        <v>365706</v>
      </c>
      <c r="G13" s="483"/>
      <c r="H13" s="549">
        <v>18250</v>
      </c>
      <c r="I13" s="483"/>
      <c r="J13" s="549">
        <v>362973</v>
      </c>
      <c r="K13" s="483"/>
      <c r="L13" s="549">
        <v>18500</v>
      </c>
      <c r="M13" s="483"/>
      <c r="N13" s="549">
        <v>371834</v>
      </c>
    </row>
    <row r="14" spans="1:14" s="94" customFormat="1" ht="30" customHeight="1" x14ac:dyDescent="0.3">
      <c r="A14" s="446" t="s">
        <v>69</v>
      </c>
      <c r="B14" s="445"/>
      <c r="C14" s="445"/>
      <c r="D14" s="549"/>
      <c r="E14" s="483"/>
      <c r="F14" s="549"/>
      <c r="G14" s="483"/>
      <c r="H14" s="549"/>
      <c r="I14" s="483"/>
      <c r="J14" s="549"/>
      <c r="K14" s="483"/>
      <c r="L14" s="549"/>
      <c r="M14" s="483"/>
      <c r="N14" s="549"/>
    </row>
    <row r="15" spans="1:14" s="39" customFormat="1" ht="18.75" customHeight="1" x14ac:dyDescent="0.3">
      <c r="A15" s="186"/>
      <c r="B15" s="186"/>
      <c r="C15" s="85"/>
      <c r="D15" s="484"/>
      <c r="E15" s="484"/>
      <c r="F15" s="484"/>
      <c r="G15" s="484"/>
      <c r="H15" s="484"/>
      <c r="I15" s="484"/>
      <c r="J15" s="484"/>
      <c r="K15" s="484"/>
      <c r="L15" s="484"/>
      <c r="M15" s="484"/>
      <c r="N15" s="484"/>
    </row>
    <row r="16" spans="1:14" s="39" customFormat="1" ht="30" customHeight="1" x14ac:dyDescent="0.3">
      <c r="A16" s="187" t="s">
        <v>52</v>
      </c>
      <c r="B16" s="187"/>
      <c r="C16" s="85"/>
      <c r="D16" s="550">
        <v>4414</v>
      </c>
      <c r="E16" s="484"/>
      <c r="F16" s="550">
        <v>34047</v>
      </c>
      <c r="G16" s="484"/>
      <c r="H16" s="550">
        <v>4386</v>
      </c>
      <c r="I16" s="484"/>
      <c r="J16" s="550">
        <v>35129</v>
      </c>
      <c r="K16" s="484"/>
      <c r="L16" s="550">
        <v>4404</v>
      </c>
      <c r="M16" s="484"/>
      <c r="N16" s="550">
        <v>35137</v>
      </c>
    </row>
    <row r="17" spans="1:22" s="97" customFormat="1" ht="30" customHeight="1" x14ac:dyDescent="0.3">
      <c r="A17" s="434" t="s">
        <v>53</v>
      </c>
      <c r="B17" s="8"/>
      <c r="C17" s="188"/>
      <c r="D17" s="550"/>
      <c r="E17" s="484"/>
      <c r="F17" s="550"/>
      <c r="G17" s="484"/>
      <c r="H17" s="550"/>
      <c r="I17" s="484"/>
      <c r="J17" s="550"/>
      <c r="K17" s="484"/>
      <c r="L17" s="550"/>
      <c r="M17" s="484"/>
      <c r="N17" s="550"/>
    </row>
    <row r="18" spans="1:22" s="97" customFormat="1" ht="18.75" customHeight="1" x14ac:dyDescent="0.3">
      <c r="A18" s="95"/>
      <c r="B18" s="95"/>
      <c r="C18" s="188"/>
      <c r="D18" s="484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189"/>
      <c r="P18" s="189"/>
    </row>
    <row r="19" spans="1:22" s="91" customFormat="1" ht="30" customHeight="1" x14ac:dyDescent="0.3">
      <c r="A19" s="184" t="s">
        <v>54</v>
      </c>
      <c r="B19" s="184"/>
      <c r="C19" s="185"/>
      <c r="D19" s="549">
        <v>1680</v>
      </c>
      <c r="E19" s="483"/>
      <c r="F19" s="549">
        <v>6205</v>
      </c>
      <c r="G19" s="483"/>
      <c r="H19" s="549">
        <v>1695</v>
      </c>
      <c r="I19" s="483"/>
      <c r="J19" s="549">
        <v>6518</v>
      </c>
      <c r="K19" s="483"/>
      <c r="L19" s="549">
        <v>1698</v>
      </c>
      <c r="M19" s="483"/>
      <c r="N19" s="549">
        <v>6901</v>
      </c>
    </row>
    <row r="20" spans="1:22" s="91" customFormat="1" ht="30" customHeight="1" x14ac:dyDescent="0.3">
      <c r="A20" s="433" t="s">
        <v>111</v>
      </c>
      <c r="B20" s="9"/>
      <c r="C20" s="185"/>
      <c r="D20" s="549"/>
      <c r="E20" s="483"/>
      <c r="F20" s="549"/>
      <c r="G20" s="483"/>
      <c r="H20" s="549"/>
      <c r="I20" s="483"/>
      <c r="J20" s="549"/>
      <c r="K20" s="483"/>
      <c r="L20" s="549"/>
      <c r="M20" s="483"/>
      <c r="N20" s="549"/>
    </row>
    <row r="21" spans="1:22" s="39" customFormat="1" ht="18.75" customHeight="1" x14ac:dyDescent="0.3">
      <c r="A21" s="95"/>
      <c r="B21" s="95"/>
      <c r="C21" s="85"/>
      <c r="D21" s="484"/>
      <c r="E21" s="484"/>
      <c r="F21" s="484"/>
      <c r="G21" s="484"/>
      <c r="H21" s="484"/>
      <c r="I21" s="484"/>
      <c r="J21" s="484"/>
      <c r="K21" s="484"/>
      <c r="L21" s="484"/>
      <c r="M21" s="484"/>
      <c r="N21" s="484"/>
    </row>
    <row r="22" spans="1:22" s="97" customFormat="1" ht="30" customHeight="1" x14ac:dyDescent="0.3">
      <c r="A22" s="190" t="s">
        <v>235</v>
      </c>
      <c r="B22" s="190"/>
      <c r="C22" s="188"/>
      <c r="D22" s="550">
        <v>1207</v>
      </c>
      <c r="E22" s="484"/>
      <c r="F22" s="550">
        <v>18362</v>
      </c>
      <c r="G22" s="484"/>
      <c r="H22" s="550">
        <v>1226</v>
      </c>
      <c r="I22" s="484"/>
      <c r="J22" s="550">
        <v>17235</v>
      </c>
      <c r="K22" s="484"/>
      <c r="L22" s="550">
        <v>1412</v>
      </c>
      <c r="M22" s="484"/>
      <c r="N22" s="550">
        <v>22290</v>
      </c>
      <c r="P22" s="189"/>
      <c r="R22" s="189"/>
      <c r="T22" s="189"/>
      <c r="V22" s="189"/>
    </row>
    <row r="23" spans="1:22" s="97" customFormat="1" ht="30" customHeight="1" x14ac:dyDescent="0.3">
      <c r="A23" s="434" t="s">
        <v>55</v>
      </c>
      <c r="B23" s="8"/>
      <c r="C23" s="188"/>
      <c r="D23" s="550"/>
      <c r="E23" s="484"/>
      <c r="F23" s="550"/>
      <c r="G23" s="484"/>
      <c r="H23" s="550"/>
      <c r="I23" s="484"/>
      <c r="J23" s="550"/>
      <c r="K23" s="484"/>
      <c r="L23" s="550"/>
      <c r="M23" s="484"/>
      <c r="N23" s="550"/>
    </row>
    <row r="24" spans="1:22" s="97" customFormat="1" ht="18.75" customHeight="1" x14ac:dyDescent="0.3">
      <c r="A24" s="191"/>
      <c r="B24" s="191"/>
      <c r="C24" s="188"/>
      <c r="D24" s="484"/>
      <c r="E24" s="484"/>
      <c r="F24" s="484"/>
      <c r="G24" s="484"/>
      <c r="H24" s="484"/>
      <c r="I24" s="484"/>
      <c r="J24" s="484"/>
      <c r="K24" s="484"/>
      <c r="L24" s="484"/>
      <c r="M24" s="484"/>
      <c r="N24" s="484"/>
    </row>
    <row r="25" spans="1:22" s="94" customFormat="1" ht="30" customHeight="1" x14ac:dyDescent="0.3">
      <c r="A25" s="184" t="s">
        <v>70</v>
      </c>
      <c r="B25" s="184"/>
      <c r="C25" s="192"/>
      <c r="D25" s="549">
        <v>16572</v>
      </c>
      <c r="E25" s="483"/>
      <c r="F25" s="549">
        <v>275684</v>
      </c>
      <c r="G25" s="483"/>
      <c r="H25" s="549">
        <v>16566</v>
      </c>
      <c r="I25" s="483"/>
      <c r="J25" s="549">
        <v>301225</v>
      </c>
      <c r="K25" s="483"/>
      <c r="L25" s="549">
        <v>17648</v>
      </c>
      <c r="M25" s="483"/>
      <c r="N25" s="549">
        <v>345845</v>
      </c>
    </row>
    <row r="26" spans="1:22" s="94" customFormat="1" ht="30" customHeight="1" x14ac:dyDescent="0.3">
      <c r="A26" s="433" t="s">
        <v>71</v>
      </c>
      <c r="B26" s="9"/>
      <c r="C26" s="192"/>
      <c r="D26" s="549"/>
      <c r="E26" s="483"/>
      <c r="F26" s="549"/>
      <c r="G26" s="483"/>
      <c r="H26" s="549"/>
      <c r="I26" s="483"/>
      <c r="J26" s="549"/>
      <c r="K26" s="483"/>
      <c r="L26" s="549"/>
      <c r="M26" s="483"/>
      <c r="N26" s="549"/>
    </row>
    <row r="27" spans="1:22" s="97" customFormat="1" ht="18.75" customHeight="1" x14ac:dyDescent="0.3">
      <c r="A27" s="95"/>
      <c r="B27" s="95"/>
      <c r="C27" s="188"/>
      <c r="D27" s="484"/>
      <c r="E27" s="484"/>
      <c r="F27" s="484"/>
      <c r="G27" s="484"/>
      <c r="H27" s="484"/>
      <c r="I27" s="484"/>
      <c r="J27" s="484"/>
      <c r="K27" s="484"/>
      <c r="L27" s="484"/>
      <c r="M27" s="484"/>
      <c r="N27" s="484"/>
    </row>
    <row r="28" spans="1:22" s="68" customFormat="1" ht="30" customHeight="1" x14ac:dyDescent="0.25">
      <c r="A28" s="68" t="s">
        <v>245</v>
      </c>
      <c r="C28" s="182"/>
      <c r="D28" s="490">
        <v>31394</v>
      </c>
      <c r="E28" s="490"/>
      <c r="F28" s="490">
        <v>527079</v>
      </c>
      <c r="G28" s="490"/>
      <c r="H28" s="490">
        <v>30713</v>
      </c>
      <c r="I28" s="490"/>
      <c r="J28" s="490">
        <v>548419</v>
      </c>
      <c r="K28" s="490"/>
      <c r="L28" s="490">
        <f>SUM(L30:L43)</f>
        <v>31454</v>
      </c>
      <c r="M28" s="490"/>
      <c r="N28" s="490">
        <f>SUM(N30:N43)</f>
        <v>598913</v>
      </c>
    </row>
    <row r="29" spans="1:22" s="39" customFormat="1" ht="18.75" customHeight="1" x14ac:dyDescent="0.3">
      <c r="A29" s="84"/>
      <c r="B29" s="84"/>
      <c r="C29" s="85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</row>
    <row r="30" spans="1:22" s="91" customFormat="1" ht="30" customHeight="1" x14ac:dyDescent="0.3">
      <c r="A30" s="184" t="s">
        <v>68</v>
      </c>
      <c r="B30" s="184"/>
      <c r="C30" s="185"/>
      <c r="D30" s="549">
        <v>13367</v>
      </c>
      <c r="E30" s="483"/>
      <c r="F30" s="549">
        <v>229918</v>
      </c>
      <c r="G30" s="483"/>
      <c r="H30" s="549">
        <v>13381</v>
      </c>
      <c r="I30" s="483"/>
      <c r="J30" s="549">
        <v>230128</v>
      </c>
      <c r="K30" s="483"/>
      <c r="L30" s="549">
        <v>13383</v>
      </c>
      <c r="M30" s="483"/>
      <c r="N30" s="549">
        <v>239964</v>
      </c>
    </row>
    <row r="31" spans="1:22" s="91" customFormat="1" ht="30" customHeight="1" x14ac:dyDescent="0.3">
      <c r="A31" s="519" t="s">
        <v>69</v>
      </c>
      <c r="B31" s="519"/>
      <c r="C31" s="519"/>
      <c r="D31" s="549"/>
      <c r="E31" s="483"/>
      <c r="F31" s="549"/>
      <c r="G31" s="483"/>
      <c r="H31" s="549"/>
      <c r="I31" s="483"/>
      <c r="J31" s="549"/>
      <c r="K31" s="483"/>
      <c r="L31" s="549"/>
      <c r="M31" s="483"/>
      <c r="N31" s="549"/>
    </row>
    <row r="32" spans="1:22" s="39" customFormat="1" ht="18.75" customHeight="1" x14ac:dyDescent="0.3">
      <c r="A32" s="186"/>
      <c r="B32" s="186"/>
      <c r="C32" s="85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484"/>
    </row>
    <row r="33" spans="1:22" s="39" customFormat="1" ht="30" customHeight="1" x14ac:dyDescent="0.3">
      <c r="A33" s="187" t="s">
        <v>52</v>
      </c>
      <c r="B33" s="187"/>
      <c r="C33" s="85"/>
      <c r="D33" s="550">
        <v>2888</v>
      </c>
      <c r="E33" s="484"/>
      <c r="F33" s="550">
        <v>43769</v>
      </c>
      <c r="G33" s="484"/>
      <c r="H33" s="550">
        <v>2837</v>
      </c>
      <c r="I33" s="484"/>
      <c r="J33" s="550">
        <v>44375</v>
      </c>
      <c r="K33" s="484"/>
      <c r="L33" s="550">
        <v>2826</v>
      </c>
      <c r="M33" s="484"/>
      <c r="N33" s="550">
        <v>43982</v>
      </c>
      <c r="O33" s="193"/>
    </row>
    <row r="34" spans="1:22" s="97" customFormat="1" ht="30" customHeight="1" x14ac:dyDescent="0.3">
      <c r="A34" s="434" t="s">
        <v>53</v>
      </c>
      <c r="B34" s="8"/>
      <c r="C34" s="188"/>
      <c r="D34" s="550"/>
      <c r="E34" s="484"/>
      <c r="F34" s="550"/>
      <c r="G34" s="484"/>
      <c r="H34" s="550"/>
      <c r="I34" s="484"/>
      <c r="J34" s="550"/>
      <c r="K34" s="484"/>
      <c r="L34" s="550"/>
      <c r="M34" s="484"/>
      <c r="N34" s="550"/>
    </row>
    <row r="35" spans="1:22" s="97" customFormat="1" ht="18.75" customHeight="1" x14ac:dyDescent="0.3">
      <c r="A35" s="95"/>
      <c r="B35" s="95"/>
      <c r="C35" s="188"/>
      <c r="D35" s="484"/>
      <c r="E35" s="484"/>
      <c r="F35" s="484"/>
      <c r="G35" s="484"/>
      <c r="H35" s="484"/>
      <c r="I35" s="484"/>
      <c r="J35" s="484"/>
      <c r="K35" s="484"/>
      <c r="L35" s="484"/>
      <c r="M35" s="484"/>
      <c r="N35" s="484"/>
    </row>
    <row r="36" spans="1:22" s="91" customFormat="1" ht="30" customHeight="1" x14ac:dyDescent="0.3">
      <c r="A36" s="184" t="s">
        <v>54</v>
      </c>
      <c r="B36" s="184"/>
      <c r="C36" s="185"/>
      <c r="D36" s="549">
        <v>1091</v>
      </c>
      <c r="E36" s="483"/>
      <c r="F36" s="549">
        <v>9034</v>
      </c>
      <c r="G36" s="483"/>
      <c r="H36" s="549">
        <v>1077</v>
      </c>
      <c r="I36" s="483"/>
      <c r="J36" s="549">
        <v>10093</v>
      </c>
      <c r="K36" s="483"/>
      <c r="L36" s="549">
        <v>1067</v>
      </c>
      <c r="M36" s="483"/>
      <c r="N36" s="549">
        <v>11518</v>
      </c>
    </row>
    <row r="37" spans="1:22" s="91" customFormat="1" ht="30" customHeight="1" x14ac:dyDescent="0.3">
      <c r="A37" s="433" t="s">
        <v>111</v>
      </c>
      <c r="B37" s="9"/>
      <c r="C37" s="185"/>
      <c r="D37" s="549"/>
      <c r="E37" s="483"/>
      <c r="F37" s="549"/>
      <c r="G37" s="483"/>
      <c r="H37" s="549"/>
      <c r="I37" s="483"/>
      <c r="J37" s="549"/>
      <c r="K37" s="483"/>
      <c r="L37" s="549"/>
      <c r="M37" s="483"/>
      <c r="N37" s="549"/>
    </row>
    <row r="38" spans="1:22" s="39" customFormat="1" ht="18.75" customHeight="1" x14ac:dyDescent="0.3">
      <c r="A38" s="95"/>
      <c r="B38" s="95"/>
      <c r="C38" s="85"/>
      <c r="D38" s="484"/>
      <c r="E38" s="484"/>
      <c r="F38" s="484"/>
      <c r="G38" s="484"/>
      <c r="H38" s="484"/>
      <c r="I38" s="484"/>
      <c r="J38" s="484"/>
      <c r="K38" s="484"/>
      <c r="L38" s="484"/>
      <c r="M38" s="484"/>
      <c r="N38" s="484"/>
    </row>
    <row r="39" spans="1:22" s="39" customFormat="1" ht="30" customHeight="1" x14ac:dyDescent="0.3">
      <c r="A39" s="190" t="s">
        <v>235</v>
      </c>
      <c r="B39" s="190"/>
      <c r="C39" s="85"/>
      <c r="D39" s="550">
        <v>1207</v>
      </c>
      <c r="E39" s="484"/>
      <c r="F39" s="550">
        <v>6519</v>
      </c>
      <c r="G39" s="484"/>
      <c r="H39" s="550">
        <v>1248</v>
      </c>
      <c r="I39" s="484"/>
      <c r="J39" s="550">
        <v>6356</v>
      </c>
      <c r="K39" s="484"/>
      <c r="L39" s="550">
        <v>1254</v>
      </c>
      <c r="M39" s="484"/>
      <c r="N39" s="550">
        <v>9540</v>
      </c>
      <c r="P39" s="193"/>
      <c r="R39" s="193"/>
      <c r="T39" s="193"/>
      <c r="V39" s="193"/>
    </row>
    <row r="40" spans="1:22" s="39" customFormat="1" ht="30" customHeight="1" x14ac:dyDescent="0.3">
      <c r="A40" s="434" t="s">
        <v>55</v>
      </c>
      <c r="B40" s="8"/>
      <c r="C40" s="85"/>
      <c r="D40" s="550"/>
      <c r="E40" s="484"/>
      <c r="F40" s="550"/>
      <c r="G40" s="484"/>
      <c r="H40" s="550"/>
      <c r="I40" s="484"/>
      <c r="J40" s="550"/>
      <c r="K40" s="484"/>
      <c r="L40" s="550"/>
      <c r="M40" s="484"/>
      <c r="N40" s="550"/>
    </row>
    <row r="41" spans="1:22" s="97" customFormat="1" ht="18.75" customHeight="1" x14ac:dyDescent="0.3">
      <c r="A41" s="194"/>
      <c r="B41" s="194"/>
      <c r="C41" s="188"/>
      <c r="D41" s="484"/>
      <c r="E41" s="484"/>
      <c r="F41" s="484"/>
      <c r="G41" s="491"/>
      <c r="H41" s="484"/>
      <c r="I41" s="484"/>
      <c r="J41" s="484"/>
      <c r="K41" s="491"/>
      <c r="L41" s="484"/>
      <c r="M41" s="484"/>
      <c r="N41" s="484"/>
    </row>
    <row r="42" spans="1:22" s="196" customFormat="1" ht="30" customHeight="1" x14ac:dyDescent="0.3">
      <c r="A42" s="184" t="s">
        <v>70</v>
      </c>
      <c r="B42" s="184"/>
      <c r="C42" s="195"/>
      <c r="D42" s="549">
        <v>12841</v>
      </c>
      <c r="E42" s="483"/>
      <c r="F42" s="549">
        <v>237839</v>
      </c>
      <c r="G42" s="483"/>
      <c r="H42" s="549">
        <v>12170</v>
      </c>
      <c r="I42" s="483"/>
      <c r="J42" s="549">
        <v>257467</v>
      </c>
      <c r="K42" s="483"/>
      <c r="L42" s="549">
        <v>12924</v>
      </c>
      <c r="M42" s="483"/>
      <c r="N42" s="549">
        <v>293909</v>
      </c>
    </row>
    <row r="43" spans="1:22" s="91" customFormat="1" ht="30" customHeight="1" x14ac:dyDescent="0.3">
      <c r="A43" s="433" t="s">
        <v>71</v>
      </c>
      <c r="B43" s="9"/>
      <c r="C43" s="185"/>
      <c r="D43" s="549"/>
      <c r="E43" s="483"/>
      <c r="F43" s="549"/>
      <c r="G43" s="483"/>
      <c r="H43" s="549"/>
      <c r="I43" s="483"/>
      <c r="J43" s="549"/>
      <c r="K43" s="483"/>
      <c r="L43" s="549"/>
      <c r="M43" s="483"/>
      <c r="N43" s="549"/>
    </row>
    <row r="44" spans="1:22" s="97" customFormat="1" ht="18.75" customHeight="1" thickBot="1" x14ac:dyDescent="0.35">
      <c r="A44" s="197"/>
      <c r="B44" s="197"/>
      <c r="C44" s="198"/>
      <c r="D44" s="199"/>
      <c r="E44" s="199"/>
      <c r="F44" s="200"/>
      <c r="G44" s="200"/>
      <c r="H44" s="201"/>
      <c r="I44" s="201"/>
      <c r="J44" s="200"/>
      <c r="K44" s="200"/>
      <c r="L44" s="201"/>
      <c r="M44" s="201"/>
      <c r="N44" s="200"/>
    </row>
    <row r="45" spans="1:22" s="39" customFormat="1" ht="18.75" customHeight="1" x14ac:dyDescent="0.3">
      <c r="B45" s="202"/>
      <c r="C45" s="85"/>
      <c r="D45" s="203"/>
      <c r="E45" s="204"/>
      <c r="F45" s="204"/>
      <c r="G45" s="204"/>
      <c r="I45" s="204"/>
      <c r="J45" s="55"/>
      <c r="K45" s="204"/>
      <c r="M45" s="204"/>
      <c r="N45" s="55" t="s">
        <v>272</v>
      </c>
    </row>
    <row r="46" spans="1:22" s="39" customFormat="1" ht="18.75" customHeight="1" x14ac:dyDescent="0.3">
      <c r="A46" s="63" t="s">
        <v>278</v>
      </c>
      <c r="B46" s="10"/>
      <c r="C46" s="85"/>
      <c r="D46" s="204"/>
      <c r="E46" s="204"/>
      <c r="F46" s="204"/>
      <c r="G46" s="204"/>
      <c r="I46" s="204"/>
      <c r="J46" s="2"/>
      <c r="K46" s="204"/>
      <c r="M46" s="204"/>
      <c r="N46" s="421" t="s">
        <v>174</v>
      </c>
    </row>
    <row r="47" spans="1:22" s="39" customFormat="1" ht="18.75" customHeight="1" x14ac:dyDescent="0.3">
      <c r="A47" s="202" t="s">
        <v>236</v>
      </c>
      <c r="B47" s="10"/>
      <c r="C47" s="85"/>
      <c r="D47" s="204"/>
      <c r="E47" s="204"/>
      <c r="F47" s="204"/>
      <c r="G47" s="204"/>
      <c r="I47" s="204"/>
      <c r="J47" s="55"/>
      <c r="K47" s="204"/>
      <c r="M47" s="204"/>
      <c r="N47" s="55" t="s">
        <v>123</v>
      </c>
    </row>
    <row r="48" spans="1:22" s="39" customFormat="1" ht="18.75" customHeight="1" x14ac:dyDescent="0.3">
      <c r="A48" s="447" t="s">
        <v>76</v>
      </c>
      <c r="B48" s="10"/>
      <c r="C48" s="85"/>
      <c r="D48" s="204"/>
      <c r="E48" s="204"/>
      <c r="F48" s="204"/>
      <c r="G48" s="204"/>
      <c r="I48" s="204"/>
      <c r="J48" s="2"/>
      <c r="K48" s="204"/>
      <c r="M48" s="204"/>
      <c r="N48" s="421" t="s">
        <v>124</v>
      </c>
    </row>
    <row r="49" spans="1:14" s="39" customFormat="1" ht="18.75" customHeight="1" x14ac:dyDescent="0.3">
      <c r="B49" s="190"/>
      <c r="C49" s="85"/>
      <c r="D49" s="204"/>
      <c r="E49" s="204"/>
      <c r="F49" s="204"/>
      <c r="G49" s="41"/>
      <c r="H49" s="205"/>
      <c r="I49" s="204"/>
      <c r="J49" s="204"/>
      <c r="K49" s="41"/>
      <c r="L49" s="205"/>
      <c r="M49" s="204"/>
      <c r="N49" s="204"/>
    </row>
    <row r="50" spans="1:14" s="39" customFormat="1" ht="18.75" customHeight="1" x14ac:dyDescent="0.3">
      <c r="B50" s="95"/>
      <c r="C50" s="85"/>
    </row>
    <row r="51" spans="1:14" s="39" customFormat="1" ht="6" customHeight="1" x14ac:dyDescent="0.3">
      <c r="A51" s="84"/>
      <c r="B51" s="84"/>
      <c r="C51" s="85"/>
      <c r="D51" s="206"/>
      <c r="E51" s="206"/>
      <c r="F51" s="206"/>
      <c r="G51" s="41"/>
      <c r="H51" s="206"/>
      <c r="I51" s="206"/>
      <c r="J51" s="206"/>
      <c r="K51" s="41"/>
      <c r="L51" s="206"/>
      <c r="M51" s="206"/>
      <c r="N51" s="206"/>
    </row>
    <row r="52" spans="1:14" x14ac:dyDescent="0.3">
      <c r="A52" s="190"/>
      <c r="B52" s="190"/>
      <c r="C52" s="21"/>
      <c r="D52" s="207"/>
      <c r="E52" s="207"/>
      <c r="F52" s="207"/>
      <c r="G52" s="207"/>
      <c r="H52" s="207"/>
      <c r="I52" s="208"/>
      <c r="J52" s="207"/>
      <c r="K52" s="207"/>
      <c r="L52" s="207"/>
      <c r="M52" s="208"/>
      <c r="N52" s="207"/>
    </row>
    <row r="53" spans="1:14" x14ac:dyDescent="0.3">
      <c r="A53" s="95"/>
      <c r="B53" s="95"/>
      <c r="D53" s="21"/>
      <c r="E53" s="21"/>
      <c r="F53" s="21"/>
      <c r="G53" s="21"/>
      <c r="H53" s="22"/>
      <c r="I53" s="22"/>
      <c r="J53" s="72"/>
      <c r="K53" s="21"/>
      <c r="L53" s="22"/>
      <c r="M53" s="22"/>
      <c r="N53" s="72"/>
    </row>
    <row r="54" spans="1:14" ht="6" customHeight="1" x14ac:dyDescent="0.3">
      <c r="A54" s="190"/>
      <c r="B54" s="190"/>
    </row>
    <row r="55" spans="1:14" x14ac:dyDescent="0.3">
      <c r="A55" s="84"/>
      <c r="B55" s="84"/>
    </row>
    <row r="56" spans="1:14" x14ac:dyDescent="0.3">
      <c r="A56" s="190"/>
      <c r="B56" s="190"/>
    </row>
    <row r="57" spans="1:14" x14ac:dyDescent="0.3">
      <c r="A57" s="96"/>
      <c r="B57" s="96"/>
    </row>
    <row r="58" spans="1:14" x14ac:dyDescent="0.3">
      <c r="A58" s="96"/>
      <c r="B58" s="96"/>
    </row>
    <row r="59" spans="1:14" ht="6" customHeight="1" x14ac:dyDescent="0.3">
      <c r="A59" s="190"/>
      <c r="B59" s="190"/>
    </row>
    <row r="60" spans="1:14" x14ac:dyDescent="0.3">
      <c r="A60" s="190"/>
      <c r="B60" s="190"/>
    </row>
    <row r="61" spans="1:14" x14ac:dyDescent="0.3">
      <c r="A61" s="209"/>
      <c r="B61" s="209"/>
    </row>
    <row r="62" spans="1:14" ht="6" customHeight="1" x14ac:dyDescent="0.3">
      <c r="A62" s="210"/>
      <c r="B62" s="210"/>
    </row>
    <row r="63" spans="1:14" x14ac:dyDescent="0.3">
      <c r="A63" s="187"/>
      <c r="B63" s="187"/>
    </row>
    <row r="64" spans="1:14" x14ac:dyDescent="0.3">
      <c r="A64" s="209"/>
      <c r="B64" s="209"/>
    </row>
    <row r="65" spans="1:2" ht="6" customHeight="1" x14ac:dyDescent="0.3">
      <c r="A65" s="187"/>
      <c r="B65" s="187"/>
    </row>
    <row r="66" spans="1:2" x14ac:dyDescent="0.3">
      <c r="A66" s="187"/>
      <c r="B66" s="187"/>
    </row>
    <row r="67" spans="1:2" x14ac:dyDescent="0.3">
      <c r="A67" s="209"/>
      <c r="B67" s="209"/>
    </row>
  </sheetData>
  <mergeCells count="69">
    <mergeCell ref="L36:L37"/>
    <mergeCell ref="N36:N37"/>
    <mergeCell ref="L42:L43"/>
    <mergeCell ref="N42:N43"/>
    <mergeCell ref="L25:L26"/>
    <mergeCell ref="N25:N26"/>
    <mergeCell ref="L30:L31"/>
    <mergeCell ref="N30:N31"/>
    <mergeCell ref="L33:L34"/>
    <mergeCell ref="N33:N34"/>
    <mergeCell ref="L39:L40"/>
    <mergeCell ref="N39:N40"/>
    <mergeCell ref="A31:C31"/>
    <mergeCell ref="A5:C8"/>
    <mergeCell ref="D5:F5"/>
    <mergeCell ref="L13:L14"/>
    <mergeCell ref="N13:N14"/>
    <mergeCell ref="L16:L17"/>
    <mergeCell ref="N16:N17"/>
    <mergeCell ref="L19:L20"/>
    <mergeCell ref="N19:N20"/>
    <mergeCell ref="L22:L23"/>
    <mergeCell ref="N22:N23"/>
    <mergeCell ref="H13:H14"/>
    <mergeCell ref="J13:J14"/>
    <mergeCell ref="H19:H20"/>
    <mergeCell ref="L5:N5"/>
    <mergeCell ref="H5:J5"/>
    <mergeCell ref="H16:H17"/>
    <mergeCell ref="J16:J17"/>
    <mergeCell ref="C1:N1"/>
    <mergeCell ref="D6:F6"/>
    <mergeCell ref="H6:J6"/>
    <mergeCell ref="L6:N6"/>
    <mergeCell ref="H25:H26"/>
    <mergeCell ref="J25:J26"/>
    <mergeCell ref="J19:J20"/>
    <mergeCell ref="H22:H23"/>
    <mergeCell ref="J22:J23"/>
    <mergeCell ref="H39:H40"/>
    <mergeCell ref="J39:J40"/>
    <mergeCell ref="H42:H43"/>
    <mergeCell ref="J42:J43"/>
    <mergeCell ref="H30:H31"/>
    <mergeCell ref="J30:J31"/>
    <mergeCell ref="H33:H34"/>
    <mergeCell ref="J33:J34"/>
    <mergeCell ref="H36:H37"/>
    <mergeCell ref="J36:J37"/>
    <mergeCell ref="F22:F23"/>
    <mergeCell ref="D22:D23"/>
    <mergeCell ref="F19:F20"/>
    <mergeCell ref="D19:D20"/>
    <mergeCell ref="F13:F14"/>
    <mergeCell ref="D13:D14"/>
    <mergeCell ref="F16:F17"/>
    <mergeCell ref="D16:D17"/>
    <mergeCell ref="F25:F26"/>
    <mergeCell ref="D25:D26"/>
    <mergeCell ref="F30:F31"/>
    <mergeCell ref="D30:D31"/>
    <mergeCell ref="F33:F34"/>
    <mergeCell ref="D33:D34"/>
    <mergeCell ref="F36:F37"/>
    <mergeCell ref="D36:D37"/>
    <mergeCell ref="F39:F40"/>
    <mergeCell ref="D39:D40"/>
    <mergeCell ref="F42:F43"/>
    <mergeCell ref="D42:D43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tabColor rgb="FFEE6EE8"/>
  </sheetPr>
  <dimension ref="A1:AB33"/>
  <sheetViews>
    <sheetView tabSelected="1" view="pageBreakPreview" topLeftCell="A16" zoomScale="90" zoomScaleNormal="75" zoomScaleSheetLayoutView="9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3" style="16" customWidth="1"/>
    <col min="19" max="21" width="12.42578125" style="16"/>
    <col min="22" max="28" width="5.7109375" style="16" customWidth="1"/>
    <col min="29" max="16384" width="12.42578125" style="16"/>
  </cols>
  <sheetData>
    <row r="1" spans="1:28" s="71" customFormat="1" ht="18.75" customHeight="1" x14ac:dyDescent="0.3">
      <c r="A1" s="118" t="s">
        <v>273</v>
      </c>
      <c r="B1" s="118" t="s">
        <v>80</v>
      </c>
      <c r="C1" s="524" t="s">
        <v>279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28" s="427" customFormat="1" ht="18.75" customHeight="1" x14ac:dyDescent="0.3">
      <c r="A2" s="426" t="s">
        <v>274</v>
      </c>
      <c r="B2" s="426" t="s">
        <v>80</v>
      </c>
      <c r="C2" s="426" t="s">
        <v>209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28" s="57" customFormat="1" ht="11.25" customHeight="1" thickBot="1" x14ac:dyDescent="0.35">
      <c r="I3" s="119"/>
      <c r="J3" s="120"/>
      <c r="M3" s="119"/>
      <c r="N3" s="120"/>
    </row>
    <row r="4" spans="1:28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28" s="57" customFormat="1" ht="18.75" customHeight="1" x14ac:dyDescent="0.3">
      <c r="A5" s="525" t="s">
        <v>243</v>
      </c>
      <c r="B5" s="125"/>
      <c r="C5" s="126"/>
      <c r="D5" s="543" t="s">
        <v>230</v>
      </c>
      <c r="E5" s="543"/>
      <c r="F5" s="543"/>
      <c r="G5" s="127"/>
      <c r="H5" s="543" t="s">
        <v>231</v>
      </c>
      <c r="I5" s="543"/>
      <c r="J5" s="543"/>
      <c r="K5" s="127"/>
      <c r="L5" s="543">
        <v>2024</v>
      </c>
      <c r="M5" s="543"/>
      <c r="N5" s="543"/>
    </row>
    <row r="6" spans="1:28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28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28" s="57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28" ht="9" customHeight="1" thickBot="1" x14ac:dyDescent="0.35">
      <c r="A9" s="130"/>
      <c r="B9" s="130"/>
      <c r="C9" s="131"/>
      <c r="D9" s="131"/>
      <c r="E9" s="131"/>
      <c r="F9" s="131"/>
      <c r="G9" s="131"/>
      <c r="H9" s="131"/>
      <c r="I9" s="130"/>
      <c r="J9" s="132"/>
      <c r="K9" s="131"/>
      <c r="L9" s="131"/>
      <c r="M9" s="130"/>
      <c r="N9" s="132"/>
    </row>
    <row r="10" spans="1:28" ht="18.75" customHeight="1" x14ac:dyDescent="0.3">
      <c r="A10" s="133"/>
      <c r="B10" s="133"/>
      <c r="C10" s="57"/>
      <c r="D10" s="57"/>
      <c r="E10" s="57"/>
      <c r="F10" s="57"/>
      <c r="G10" s="57"/>
      <c r="H10" s="57"/>
      <c r="I10" s="133"/>
      <c r="J10" s="120"/>
      <c r="K10" s="57"/>
      <c r="L10" s="57"/>
      <c r="M10" s="133"/>
      <c r="N10" s="120"/>
    </row>
    <row r="11" spans="1:28" ht="30" customHeight="1" x14ac:dyDescent="0.3">
      <c r="A11" s="134" t="s">
        <v>0</v>
      </c>
      <c r="B11" s="134"/>
      <c r="C11" s="135"/>
      <c r="D11" s="136">
        <f>70878+2482</f>
        <v>73360</v>
      </c>
      <c r="E11" s="136">
        <f>40691+1207</f>
        <v>41898</v>
      </c>
      <c r="F11" s="136">
        <f>30187+1275</f>
        <v>31462</v>
      </c>
      <c r="G11" s="137"/>
      <c r="H11" s="136">
        <f>70362+2474</f>
        <v>72836</v>
      </c>
      <c r="I11" s="136">
        <f>40897+1226</f>
        <v>42123</v>
      </c>
      <c r="J11" s="136">
        <f>29465+1248</f>
        <v>30713</v>
      </c>
      <c r="K11" s="137"/>
      <c r="L11" s="136">
        <f>72450+2666</f>
        <v>75116</v>
      </c>
      <c r="M11" s="136">
        <f>42250+1412</f>
        <v>43662</v>
      </c>
      <c r="N11" s="136">
        <f>30200+1254</f>
        <v>31454</v>
      </c>
      <c r="P11" s="138"/>
      <c r="R11" s="138"/>
      <c r="T11" s="138"/>
      <c r="V11" s="138"/>
      <c r="W11" s="138"/>
      <c r="X11" s="138"/>
      <c r="Z11" s="138"/>
      <c r="AA11" s="138"/>
      <c r="AB11" s="138"/>
    </row>
    <row r="12" spans="1:28" ht="18.75" customHeight="1" x14ac:dyDescent="0.3">
      <c r="A12" s="133"/>
      <c r="B12" s="133"/>
      <c r="C12" s="57"/>
      <c r="D12" s="139"/>
      <c r="E12" s="139"/>
      <c r="F12" s="139"/>
      <c r="G12" s="140"/>
      <c r="H12" s="139"/>
      <c r="I12" s="139"/>
      <c r="J12" s="139"/>
      <c r="K12" s="140"/>
      <c r="L12" s="139"/>
      <c r="M12" s="139"/>
      <c r="N12" s="139"/>
    </row>
    <row r="13" spans="1:28" s="146" customFormat="1" ht="30" customHeight="1" x14ac:dyDescent="0.3">
      <c r="A13" s="141" t="s">
        <v>1</v>
      </c>
      <c r="B13" s="142"/>
      <c r="C13" s="143"/>
      <c r="D13" s="144">
        <f>5168+181</f>
        <v>5349</v>
      </c>
      <c r="E13" s="144">
        <f>2881+98</f>
        <v>2979</v>
      </c>
      <c r="F13" s="144">
        <f>2287+83</f>
        <v>2370</v>
      </c>
      <c r="G13" s="145"/>
      <c r="H13" s="144">
        <f>5205+181</f>
        <v>5386</v>
      </c>
      <c r="I13" s="144">
        <f>2955+100</f>
        <v>3055</v>
      </c>
      <c r="J13" s="144">
        <f>2250+81</f>
        <v>2331</v>
      </c>
      <c r="K13" s="145"/>
      <c r="L13" s="144">
        <f>5211+197</f>
        <v>5408</v>
      </c>
      <c r="M13" s="144">
        <f>3021+110</f>
        <v>3131</v>
      </c>
      <c r="N13" s="144">
        <f>2190+87</f>
        <v>2277</v>
      </c>
      <c r="P13" s="147"/>
      <c r="R13" s="147"/>
      <c r="T13" s="147"/>
      <c r="V13" s="147"/>
      <c r="W13" s="147"/>
      <c r="X13" s="147"/>
      <c r="Z13" s="147"/>
      <c r="AA13" s="147"/>
      <c r="AB13" s="147"/>
    </row>
    <row r="14" spans="1:28" ht="30" customHeight="1" x14ac:dyDescent="0.3">
      <c r="A14" s="148" t="s">
        <v>2</v>
      </c>
      <c r="B14" s="149"/>
      <c r="C14" s="135"/>
      <c r="D14" s="139">
        <f>3266+240</f>
        <v>3506</v>
      </c>
      <c r="E14" s="139">
        <f>1893+110</f>
        <v>2003</v>
      </c>
      <c r="F14" s="139">
        <f>1373+130</f>
        <v>1503</v>
      </c>
      <c r="G14" s="137"/>
      <c r="H14" s="139">
        <f>3292+240</f>
        <v>3532</v>
      </c>
      <c r="I14" s="139">
        <f>1916+114</f>
        <v>2030</v>
      </c>
      <c r="J14" s="139">
        <f>1376+126</f>
        <v>1502</v>
      </c>
      <c r="K14" s="137"/>
      <c r="L14" s="139">
        <f>3448+267</f>
        <v>3715</v>
      </c>
      <c r="M14" s="139">
        <f>2006+144</f>
        <v>2150</v>
      </c>
      <c r="N14" s="139">
        <f>1442+123</f>
        <v>1565</v>
      </c>
      <c r="P14" s="138"/>
      <c r="R14" s="138"/>
      <c r="T14" s="138"/>
      <c r="V14" s="138"/>
      <c r="W14" s="138"/>
      <c r="X14" s="138"/>
      <c r="Z14" s="138"/>
      <c r="AA14" s="138"/>
      <c r="AB14" s="138"/>
    </row>
    <row r="15" spans="1:28" s="146" customFormat="1" ht="30" customHeight="1" x14ac:dyDescent="0.3">
      <c r="A15" s="141" t="s">
        <v>3</v>
      </c>
      <c r="B15" s="150"/>
      <c r="C15" s="143"/>
      <c r="D15" s="144">
        <f>2432+82</f>
        <v>2514</v>
      </c>
      <c r="E15" s="144">
        <f>1481+25</f>
        <v>1506</v>
      </c>
      <c r="F15" s="144">
        <f>951+57</f>
        <v>1008</v>
      </c>
      <c r="G15" s="145"/>
      <c r="H15" s="144">
        <f>2447+101</f>
        <v>2548</v>
      </c>
      <c r="I15" s="144">
        <f>1513+35</f>
        <v>1548</v>
      </c>
      <c r="J15" s="144">
        <f>934+66</f>
        <v>1000</v>
      </c>
      <c r="K15" s="145"/>
      <c r="L15" s="144">
        <f>2481+116</f>
        <v>2597</v>
      </c>
      <c r="M15" s="144">
        <f>1526+49</f>
        <v>1575</v>
      </c>
      <c r="N15" s="144">
        <f>955+67</f>
        <v>1022</v>
      </c>
      <c r="P15" s="147"/>
      <c r="R15" s="147"/>
      <c r="T15" s="147"/>
      <c r="V15" s="147"/>
      <c r="W15" s="147"/>
      <c r="X15" s="147"/>
      <c r="Z15" s="147"/>
      <c r="AA15" s="147"/>
      <c r="AB15" s="147"/>
    </row>
    <row r="16" spans="1:28" ht="30" customHeight="1" x14ac:dyDescent="0.3">
      <c r="A16" s="148" t="s">
        <v>4</v>
      </c>
      <c r="B16" s="149"/>
      <c r="C16" s="135"/>
      <c r="D16" s="139">
        <f>3256+99</f>
        <v>3355</v>
      </c>
      <c r="E16" s="139">
        <f>1919+55</f>
        <v>1974</v>
      </c>
      <c r="F16" s="139">
        <f>1337+44</f>
        <v>1381</v>
      </c>
      <c r="G16" s="137"/>
      <c r="H16" s="139">
        <f>3293+98</f>
        <v>3391</v>
      </c>
      <c r="I16" s="139">
        <f>1961+55</f>
        <v>2016</v>
      </c>
      <c r="J16" s="139">
        <f>1332+43</f>
        <v>1375</v>
      </c>
      <c r="K16" s="137"/>
      <c r="L16" s="139">
        <f>3289+112</f>
        <v>3401</v>
      </c>
      <c r="M16" s="139">
        <f>1953+63</f>
        <v>2016</v>
      </c>
      <c r="N16" s="139">
        <f>1336+49</f>
        <v>1385</v>
      </c>
      <c r="P16" s="138"/>
      <c r="R16" s="138"/>
      <c r="T16" s="138"/>
      <c r="V16" s="138"/>
      <c r="W16" s="138"/>
      <c r="X16" s="138"/>
      <c r="Z16" s="138"/>
      <c r="AA16" s="138"/>
      <c r="AB16" s="138"/>
    </row>
    <row r="17" spans="1:28" s="146" customFormat="1" ht="30" customHeight="1" x14ac:dyDescent="0.3">
      <c r="A17" s="141" t="s">
        <v>5</v>
      </c>
      <c r="B17" s="150"/>
      <c r="C17" s="143"/>
      <c r="D17" s="144">
        <f>2902+75</f>
        <v>2977</v>
      </c>
      <c r="E17" s="144">
        <f>1872+43</f>
        <v>1915</v>
      </c>
      <c r="F17" s="144">
        <f>1030+32</f>
        <v>1062</v>
      </c>
      <c r="G17" s="145"/>
      <c r="H17" s="144">
        <f>2780+204</f>
        <v>2984</v>
      </c>
      <c r="I17" s="144">
        <f>1771+116</f>
        <v>1887</v>
      </c>
      <c r="J17" s="144">
        <f>1009+88</f>
        <v>1097</v>
      </c>
      <c r="K17" s="145"/>
      <c r="L17" s="144">
        <f>2914+222</f>
        <v>3136</v>
      </c>
      <c r="M17" s="144">
        <f>1850+129</f>
        <v>1979</v>
      </c>
      <c r="N17" s="144">
        <f>1064+93</f>
        <v>1157</v>
      </c>
      <c r="P17" s="147"/>
      <c r="R17" s="147"/>
      <c r="T17" s="147"/>
      <c r="V17" s="147"/>
      <c r="W17" s="147"/>
      <c r="X17" s="147"/>
      <c r="Z17" s="147"/>
      <c r="AA17" s="147"/>
      <c r="AB17" s="147"/>
    </row>
    <row r="18" spans="1:28" ht="30" customHeight="1" x14ac:dyDescent="0.3">
      <c r="A18" s="148" t="s">
        <v>6</v>
      </c>
      <c r="B18" s="149"/>
      <c r="C18" s="135"/>
      <c r="D18" s="139">
        <f>3713+90</f>
        <v>3803</v>
      </c>
      <c r="E18" s="139">
        <f>2151+31</f>
        <v>2182</v>
      </c>
      <c r="F18" s="139">
        <f>1562+59</f>
        <v>1621</v>
      </c>
      <c r="G18" s="137"/>
      <c r="H18" s="139">
        <f>3821+89</f>
        <v>3910</v>
      </c>
      <c r="I18" s="139">
        <f>2258+34</f>
        <v>2292</v>
      </c>
      <c r="J18" s="139">
        <f>1563+55</f>
        <v>1618</v>
      </c>
      <c r="K18" s="137"/>
      <c r="L18" s="139">
        <f>3841+98</f>
        <v>3939</v>
      </c>
      <c r="M18" s="139">
        <f>2255+40</f>
        <v>2295</v>
      </c>
      <c r="N18" s="139">
        <f>1586+58</f>
        <v>1644</v>
      </c>
      <c r="P18" s="138"/>
      <c r="R18" s="138"/>
      <c r="T18" s="138"/>
      <c r="V18" s="138"/>
      <c r="W18" s="138"/>
      <c r="X18" s="138"/>
      <c r="Z18" s="138"/>
      <c r="AA18" s="138"/>
      <c r="AB18" s="138"/>
    </row>
    <row r="19" spans="1:28" s="146" customFormat="1" ht="30" customHeight="1" x14ac:dyDescent="0.3">
      <c r="A19" s="141" t="s">
        <v>7</v>
      </c>
      <c r="B19" s="150"/>
      <c r="C19" s="143"/>
      <c r="D19" s="144">
        <f>4548+157</f>
        <v>4705</v>
      </c>
      <c r="E19" s="144">
        <f>2563+65</f>
        <v>2628</v>
      </c>
      <c r="F19" s="144">
        <f>1985+92</f>
        <v>2077</v>
      </c>
      <c r="G19" s="145"/>
      <c r="H19" s="144">
        <f>4814+159</f>
        <v>4973</v>
      </c>
      <c r="I19" s="144">
        <f>2752+67</f>
        <v>2819</v>
      </c>
      <c r="J19" s="144">
        <f>2062+92</f>
        <v>2154</v>
      </c>
      <c r="K19" s="145"/>
      <c r="L19" s="144">
        <f>4859+162</f>
        <v>5021</v>
      </c>
      <c r="M19" s="144">
        <f>2784+72</f>
        <v>2856</v>
      </c>
      <c r="N19" s="144">
        <f>2075+90</f>
        <v>2165</v>
      </c>
      <c r="P19" s="147"/>
      <c r="R19" s="147"/>
      <c r="T19" s="147"/>
      <c r="V19" s="147"/>
      <c r="W19" s="147"/>
      <c r="X19" s="147"/>
      <c r="Z19" s="147"/>
      <c r="AA19" s="147"/>
      <c r="AB19" s="147"/>
    </row>
    <row r="20" spans="1:28" ht="30" customHeight="1" x14ac:dyDescent="0.3">
      <c r="A20" s="148" t="s">
        <v>8</v>
      </c>
      <c r="B20" s="149"/>
      <c r="C20" s="135"/>
      <c r="D20" s="139">
        <f>1907+59</f>
        <v>1966</v>
      </c>
      <c r="E20" s="139">
        <f>1031+25</f>
        <v>1056</v>
      </c>
      <c r="F20" s="139">
        <f>876+34</f>
        <v>910</v>
      </c>
      <c r="G20" s="137"/>
      <c r="H20" s="139">
        <f>1946+73</f>
        <v>2019</v>
      </c>
      <c r="I20" s="139">
        <f>1047+36</f>
        <v>1083</v>
      </c>
      <c r="J20" s="139">
        <f>899+37</f>
        <v>936</v>
      </c>
      <c r="K20" s="137"/>
      <c r="L20" s="139">
        <f>1834+92</f>
        <v>1926</v>
      </c>
      <c r="M20" s="139">
        <f>1011+50</f>
        <v>1061</v>
      </c>
      <c r="N20" s="139">
        <f>823+42</f>
        <v>865</v>
      </c>
      <c r="P20" s="138"/>
      <c r="R20" s="138"/>
      <c r="T20" s="138"/>
      <c r="V20" s="138"/>
      <c r="W20" s="138"/>
      <c r="X20" s="138"/>
      <c r="Z20" s="138"/>
      <c r="AA20" s="138"/>
      <c r="AB20" s="138"/>
    </row>
    <row r="21" spans="1:28" s="146" customFormat="1" ht="30" customHeight="1" x14ac:dyDescent="0.3">
      <c r="A21" s="141" t="s">
        <v>9</v>
      </c>
      <c r="B21" s="150"/>
      <c r="C21" s="143"/>
      <c r="D21" s="144">
        <f>4085+230</f>
        <v>4315</v>
      </c>
      <c r="E21" s="144">
        <f>2260+112</f>
        <v>2372</v>
      </c>
      <c r="F21" s="144">
        <f>1825+118</f>
        <v>1943</v>
      </c>
      <c r="G21" s="145"/>
      <c r="H21" s="144">
        <f>4033+222</f>
        <v>4255</v>
      </c>
      <c r="I21" s="144">
        <f>2269+106</f>
        <v>2375</v>
      </c>
      <c r="J21" s="144">
        <f>1764+116</f>
        <v>1880</v>
      </c>
      <c r="K21" s="145"/>
      <c r="L21" s="144">
        <f>4044+228</f>
        <v>4272</v>
      </c>
      <c r="M21" s="144">
        <f>2297+125</f>
        <v>2422</v>
      </c>
      <c r="N21" s="144">
        <f>1747+103</f>
        <v>1850</v>
      </c>
      <c r="P21" s="147"/>
      <c r="R21" s="147"/>
      <c r="T21" s="147"/>
      <c r="V21" s="147"/>
      <c r="W21" s="147"/>
      <c r="X21" s="147"/>
      <c r="Z21" s="147"/>
      <c r="AA21" s="147"/>
      <c r="AB21" s="147"/>
    </row>
    <row r="22" spans="1:28" ht="30" customHeight="1" x14ac:dyDescent="0.3">
      <c r="A22" s="148" t="s">
        <v>10</v>
      </c>
      <c r="B22" s="149"/>
      <c r="C22" s="135"/>
      <c r="D22" s="139">
        <f>2383+254</f>
        <v>2637</v>
      </c>
      <c r="E22" s="139">
        <f>1335+118</f>
        <v>1453</v>
      </c>
      <c r="F22" s="139">
        <f>1048+136</f>
        <v>1184</v>
      </c>
      <c r="G22" s="137"/>
      <c r="H22" s="139">
        <f>2468+255</f>
        <v>2723</v>
      </c>
      <c r="I22" s="139">
        <f>1393+126</f>
        <v>1519</v>
      </c>
      <c r="J22" s="139">
        <f>1075+129</f>
        <v>1204</v>
      </c>
      <c r="K22" s="137"/>
      <c r="L22" s="139">
        <f>2549+270</f>
        <v>2819</v>
      </c>
      <c r="M22" s="139">
        <f>1439+148</f>
        <v>1587</v>
      </c>
      <c r="N22" s="139">
        <f>1110+122</f>
        <v>1232</v>
      </c>
      <c r="P22" s="138"/>
      <c r="R22" s="138"/>
      <c r="T22" s="138"/>
      <c r="V22" s="138"/>
      <c r="W22" s="138"/>
      <c r="X22" s="138"/>
      <c r="Z22" s="138"/>
      <c r="AA22" s="138"/>
      <c r="AB22" s="138"/>
    </row>
    <row r="23" spans="1:28" s="146" customFormat="1" ht="30" customHeight="1" x14ac:dyDescent="0.3">
      <c r="A23" s="141" t="s">
        <v>11</v>
      </c>
      <c r="B23" s="150"/>
      <c r="C23" s="143"/>
      <c r="D23" s="144">
        <f>3341+225</f>
        <v>3566</v>
      </c>
      <c r="E23" s="144">
        <f>1891+110</f>
        <v>2001</v>
      </c>
      <c r="F23" s="144">
        <f>1450+115</f>
        <v>1565</v>
      </c>
      <c r="G23" s="145"/>
      <c r="H23" s="144">
        <f>3249+232</f>
        <v>3481</v>
      </c>
      <c r="I23" s="144">
        <f>1837+118</f>
        <v>1955</v>
      </c>
      <c r="J23" s="144">
        <f>1412+114</f>
        <v>1526</v>
      </c>
      <c r="K23" s="145"/>
      <c r="L23" s="144">
        <f>3419+254</f>
        <v>3673</v>
      </c>
      <c r="M23" s="144">
        <f>1945+135</f>
        <v>2080</v>
      </c>
      <c r="N23" s="144">
        <f>1474+119</f>
        <v>1593</v>
      </c>
      <c r="P23" s="147"/>
      <c r="R23" s="147"/>
      <c r="T23" s="147"/>
      <c r="V23" s="147"/>
      <c r="W23" s="147"/>
      <c r="X23" s="147"/>
      <c r="Z23" s="147"/>
      <c r="AA23" s="147"/>
      <c r="AB23" s="147"/>
    </row>
    <row r="24" spans="1:28" ht="30" customHeight="1" x14ac:dyDescent="0.3">
      <c r="A24" s="148" t="s">
        <v>12</v>
      </c>
      <c r="B24" s="149"/>
      <c r="C24" s="135"/>
      <c r="D24" s="139">
        <f>22289+142</f>
        <v>22431</v>
      </c>
      <c r="E24" s="139">
        <f>12798+82</f>
        <v>12880</v>
      </c>
      <c r="F24" s="139">
        <f>9491+60</f>
        <v>9551</v>
      </c>
      <c r="G24" s="137"/>
      <c r="H24" s="139">
        <f>20780+139</f>
        <v>20919</v>
      </c>
      <c r="I24" s="139">
        <f>12226+79</f>
        <v>12305</v>
      </c>
      <c r="J24" s="139">
        <f>8554+60</f>
        <v>8614</v>
      </c>
      <c r="K24" s="137"/>
      <c r="L24" s="139">
        <f>21599+150</f>
        <v>21749</v>
      </c>
      <c r="M24" s="139">
        <f>12685+86</f>
        <v>12771</v>
      </c>
      <c r="N24" s="139">
        <f>8914+64</f>
        <v>8978</v>
      </c>
      <c r="P24" s="138"/>
      <c r="R24" s="138"/>
      <c r="T24" s="138"/>
      <c r="V24" s="138"/>
      <c r="W24" s="138"/>
      <c r="X24" s="138"/>
      <c r="Z24" s="138"/>
      <c r="AA24" s="138"/>
      <c r="AB24" s="138"/>
    </row>
    <row r="25" spans="1:28" s="146" customFormat="1" ht="30" customHeight="1" x14ac:dyDescent="0.3">
      <c r="A25" s="141" t="s">
        <v>13</v>
      </c>
      <c r="B25" s="150"/>
      <c r="C25" s="143"/>
      <c r="D25" s="144">
        <f>2850+194</f>
        <v>3044</v>
      </c>
      <c r="E25" s="144">
        <f>1634+60</f>
        <v>1694</v>
      </c>
      <c r="F25" s="144">
        <f>1216+134</f>
        <v>1350</v>
      </c>
      <c r="G25" s="145"/>
      <c r="H25" s="144">
        <f>2834+204</f>
        <v>3038</v>
      </c>
      <c r="I25" s="144">
        <f>1653+64</f>
        <v>1717</v>
      </c>
      <c r="J25" s="144">
        <f>1181+140</f>
        <v>1321</v>
      </c>
      <c r="K25" s="145"/>
      <c r="L25" s="144">
        <f>2714+207</f>
        <v>2921</v>
      </c>
      <c r="M25" s="144">
        <f>1604+70</f>
        <v>1674</v>
      </c>
      <c r="N25" s="144">
        <f>1110+137</f>
        <v>1247</v>
      </c>
      <c r="O25" s="151"/>
      <c r="P25" s="147"/>
      <c r="R25" s="147"/>
      <c r="T25" s="147"/>
      <c r="V25" s="147"/>
      <c r="W25" s="147"/>
      <c r="X25" s="147"/>
      <c r="Z25" s="147"/>
      <c r="AA25" s="147"/>
      <c r="AB25" s="147"/>
    </row>
    <row r="26" spans="1:28" ht="30" customHeight="1" x14ac:dyDescent="0.3">
      <c r="A26" s="148" t="s">
        <v>14</v>
      </c>
      <c r="B26" s="149"/>
      <c r="C26" s="135"/>
      <c r="D26" s="139">
        <f>8494+454</f>
        <v>8948</v>
      </c>
      <c r="E26" s="139">
        <f>4858+273</f>
        <v>5131</v>
      </c>
      <c r="F26" s="139">
        <f>3636+181</f>
        <v>3817</v>
      </c>
      <c r="G26" s="137"/>
      <c r="H26" s="139">
        <f>9169+277</f>
        <v>9446</v>
      </c>
      <c r="I26" s="139">
        <f>5227+176</f>
        <v>5403</v>
      </c>
      <c r="J26" s="139">
        <f>3942+101</f>
        <v>4043</v>
      </c>
      <c r="K26" s="137"/>
      <c r="L26" s="139">
        <f>10020+291</f>
        <v>10311</v>
      </c>
      <c r="M26" s="139">
        <f>5760+191</f>
        <v>5951</v>
      </c>
      <c r="N26" s="139">
        <f>4260+100</f>
        <v>4360</v>
      </c>
      <c r="O26" s="4"/>
      <c r="P26" s="138"/>
      <c r="R26" s="138"/>
      <c r="T26" s="138"/>
      <c r="V26" s="138"/>
      <c r="W26" s="138"/>
      <c r="X26" s="138"/>
      <c r="Z26" s="138"/>
      <c r="AA26" s="138"/>
      <c r="AB26" s="138"/>
    </row>
    <row r="27" spans="1:28" s="146" customFormat="1" ht="30" customHeight="1" x14ac:dyDescent="0.3">
      <c r="A27" s="141" t="s">
        <v>15</v>
      </c>
      <c r="B27" s="150"/>
      <c r="C27" s="143"/>
      <c r="D27" s="144">
        <v>102</v>
      </c>
      <c r="E27" s="144">
        <v>59</v>
      </c>
      <c r="F27" s="144">
        <v>43</v>
      </c>
      <c r="G27" s="145"/>
      <c r="H27" s="144">
        <v>98</v>
      </c>
      <c r="I27" s="144">
        <v>57</v>
      </c>
      <c r="J27" s="144">
        <v>41</v>
      </c>
      <c r="K27" s="145"/>
      <c r="L27" s="144">
        <v>94</v>
      </c>
      <c r="M27" s="144">
        <v>54</v>
      </c>
      <c r="N27" s="144">
        <v>40</v>
      </c>
      <c r="P27" s="147"/>
      <c r="R27" s="147"/>
      <c r="T27" s="147"/>
      <c r="V27" s="147"/>
      <c r="W27" s="147"/>
      <c r="X27" s="147"/>
      <c r="Z27" s="147"/>
      <c r="AA27" s="147"/>
      <c r="AB27" s="147"/>
    </row>
    <row r="28" spans="1:28" ht="30" customHeight="1" x14ac:dyDescent="0.3">
      <c r="A28" s="148" t="s">
        <v>16</v>
      </c>
      <c r="B28" s="149"/>
      <c r="C28" s="135"/>
      <c r="D28" s="139">
        <v>142</v>
      </c>
      <c r="E28" s="139">
        <v>65</v>
      </c>
      <c r="F28" s="139">
        <v>77</v>
      </c>
      <c r="G28" s="137"/>
      <c r="H28" s="139">
        <v>133</v>
      </c>
      <c r="I28" s="139">
        <v>62</v>
      </c>
      <c r="J28" s="139">
        <v>71</v>
      </c>
      <c r="K28" s="137"/>
      <c r="L28" s="139">
        <v>134</v>
      </c>
      <c r="M28" s="139">
        <v>60</v>
      </c>
      <c r="N28" s="139">
        <v>74</v>
      </c>
      <c r="P28" s="138"/>
      <c r="R28" s="138"/>
      <c r="T28" s="138"/>
      <c r="V28" s="138"/>
      <c r="W28" s="138"/>
      <c r="X28" s="138"/>
      <c r="Z28" s="138"/>
      <c r="AA28" s="138"/>
      <c r="AB28" s="138"/>
    </row>
    <row r="29" spans="1:28" ht="18.75" customHeight="1" thickBot="1" x14ac:dyDescent="0.35">
      <c r="A29" s="152"/>
      <c r="B29" s="152"/>
      <c r="C29" s="153"/>
      <c r="D29" s="154"/>
      <c r="E29" s="154"/>
      <c r="F29" s="154"/>
      <c r="G29" s="155"/>
      <c r="H29" s="154"/>
      <c r="I29" s="154"/>
      <c r="J29" s="154"/>
      <c r="K29" s="155"/>
      <c r="L29" s="154"/>
      <c r="M29" s="154"/>
      <c r="N29" s="154"/>
    </row>
    <row r="30" spans="1:28" ht="18.75" customHeight="1" x14ac:dyDescent="0.3">
      <c r="F30" s="58"/>
      <c r="G30" s="59"/>
      <c r="I30" s="156"/>
      <c r="J30" s="55"/>
      <c r="K30" s="59"/>
      <c r="M30" s="156"/>
      <c r="N30" s="55" t="s">
        <v>271</v>
      </c>
    </row>
    <row r="31" spans="1:28" ht="18.75" customHeight="1" x14ac:dyDescent="0.3">
      <c r="A31" s="63" t="s">
        <v>278</v>
      </c>
      <c r="F31" s="58"/>
      <c r="G31" s="59"/>
      <c r="I31" s="156"/>
      <c r="J31" s="2"/>
      <c r="K31" s="59"/>
      <c r="M31" s="156"/>
      <c r="N31" s="421" t="s">
        <v>148</v>
      </c>
    </row>
    <row r="32" spans="1:28" ht="18.75" x14ac:dyDescent="0.3">
      <c r="A32" s="63" t="s">
        <v>233</v>
      </c>
      <c r="N32" s="55" t="s">
        <v>123</v>
      </c>
    </row>
    <row r="33" spans="14:14" x14ac:dyDescent="0.3">
      <c r="N33" s="421" t="s">
        <v>124</v>
      </c>
    </row>
  </sheetData>
  <mergeCells count="8">
    <mergeCell ref="C1:N1"/>
    <mergeCell ref="A5:A8"/>
    <mergeCell ref="D5:F5"/>
    <mergeCell ref="L5:N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tabColor rgb="FFEE6EE8"/>
  </sheetPr>
  <dimension ref="A1:Z52"/>
  <sheetViews>
    <sheetView tabSelected="1" view="pageBreakPreview" topLeftCell="A37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14.5703125" style="18" customWidth="1"/>
    <col min="4" max="6" width="15.7109375" style="18" customWidth="1"/>
    <col min="7" max="7" width="1.7109375" style="18" customWidth="1"/>
    <col min="8" max="8" width="15.7109375" style="20" customWidth="1"/>
    <col min="9" max="9" width="15.7109375" style="110" customWidth="1"/>
    <col min="10" max="10" width="15.7109375" style="18" customWidth="1"/>
    <col min="11" max="11" width="1.7109375" style="18" customWidth="1"/>
    <col min="12" max="12" width="15.7109375" style="20" customWidth="1"/>
    <col min="13" max="13" width="15.7109375" style="110" customWidth="1"/>
    <col min="14" max="14" width="15.7109375" style="18" customWidth="1"/>
    <col min="15" max="15" width="12.42578125" style="18"/>
    <col min="16" max="16" width="10.5703125" style="18" customWidth="1"/>
    <col min="17" max="17" width="12.42578125" style="18"/>
    <col min="18" max="18" width="13.28515625" style="18" customWidth="1"/>
    <col min="19" max="19" width="12.42578125" style="18"/>
    <col min="20" max="20" width="12.28515625" style="18" customWidth="1"/>
    <col min="21" max="21" width="12.42578125" style="18"/>
    <col min="22" max="22" width="10.5703125" style="18" customWidth="1"/>
    <col min="23" max="23" width="12.42578125" style="18"/>
    <col min="24" max="24" width="6.42578125" style="18" customWidth="1"/>
    <col min="25" max="25" width="12.42578125" style="18"/>
    <col min="26" max="26" width="8.140625" style="18" customWidth="1"/>
    <col min="27" max="16384" width="12.42578125" style="18"/>
  </cols>
  <sheetData>
    <row r="1" spans="1:26" s="5" customFormat="1" ht="18.75" customHeight="1" x14ac:dyDescent="0.3">
      <c r="A1" s="70" t="s">
        <v>83</v>
      </c>
      <c r="B1" s="70" t="s">
        <v>80</v>
      </c>
      <c r="C1" s="70" t="s">
        <v>177</v>
      </c>
      <c r="D1" s="70"/>
      <c r="E1" s="70"/>
      <c r="F1" s="70"/>
      <c r="G1" s="70"/>
      <c r="J1" s="70"/>
      <c r="K1" s="70"/>
      <c r="N1" s="70"/>
    </row>
    <row r="2" spans="1:26" s="427" customFormat="1" ht="18.75" customHeight="1" x14ac:dyDescent="0.3">
      <c r="A2" s="426" t="s">
        <v>84</v>
      </c>
      <c r="B2" s="426" t="s">
        <v>80</v>
      </c>
      <c r="C2" s="426" t="s">
        <v>178</v>
      </c>
      <c r="D2" s="426"/>
      <c r="E2" s="426"/>
      <c r="F2" s="426"/>
      <c r="G2" s="426"/>
      <c r="J2" s="426"/>
      <c r="K2" s="426"/>
      <c r="N2" s="426"/>
    </row>
    <row r="3" spans="1:26" s="21" customFormat="1" ht="11.25" customHeight="1" thickBot="1" x14ac:dyDescent="0.35">
      <c r="H3" s="22"/>
      <c r="I3" s="72"/>
      <c r="L3" s="22"/>
      <c r="M3" s="72"/>
    </row>
    <row r="4" spans="1:26" s="364" customFormat="1" ht="9" customHeight="1" x14ac:dyDescent="0.3">
      <c r="A4" s="23"/>
      <c r="B4" s="23"/>
      <c r="C4" s="23"/>
      <c r="D4" s="26"/>
      <c r="E4" s="26"/>
      <c r="F4" s="26"/>
      <c r="G4" s="26"/>
      <c r="H4" s="25"/>
      <c r="I4" s="73"/>
      <c r="J4" s="26"/>
      <c r="K4" s="26"/>
      <c r="L4" s="25"/>
      <c r="M4" s="73"/>
      <c r="N4" s="26"/>
    </row>
    <row r="5" spans="1:26" s="364" customFormat="1" ht="18.75" customHeight="1" x14ac:dyDescent="0.3">
      <c r="A5" s="518" t="s">
        <v>243</v>
      </c>
      <c r="B5" s="27"/>
      <c r="C5" s="387"/>
      <c r="D5" s="517" t="s">
        <v>230</v>
      </c>
      <c r="E5" s="517"/>
      <c r="F5" s="517"/>
      <c r="G5" s="30"/>
      <c r="H5" s="517">
        <v>2023</v>
      </c>
      <c r="I5" s="517"/>
      <c r="J5" s="517"/>
      <c r="K5" s="30"/>
      <c r="L5" s="517">
        <v>2024</v>
      </c>
      <c r="M5" s="517"/>
      <c r="N5" s="517"/>
    </row>
    <row r="6" spans="1:26" s="364" customFormat="1" ht="9" customHeight="1" x14ac:dyDescent="0.3">
      <c r="A6" s="518"/>
      <c r="B6" s="27"/>
      <c r="C6" s="387"/>
      <c r="D6" s="388"/>
      <c r="E6" s="388"/>
      <c r="F6" s="388"/>
      <c r="G6" s="74"/>
      <c r="H6" s="388"/>
      <c r="I6" s="388"/>
      <c r="J6" s="388"/>
      <c r="K6" s="74"/>
      <c r="L6" s="388"/>
      <c r="M6" s="388"/>
      <c r="N6" s="388"/>
    </row>
    <row r="7" spans="1:26" s="364" customFormat="1" ht="9" customHeight="1" x14ac:dyDescent="0.3">
      <c r="A7" s="518"/>
      <c r="B7" s="27"/>
      <c r="C7" s="387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</row>
    <row r="8" spans="1:26" s="364" customFormat="1" x14ac:dyDescent="0.3">
      <c r="A8" s="518"/>
      <c r="B8" s="27"/>
      <c r="C8" s="387"/>
      <c r="D8" s="211" t="s">
        <v>19</v>
      </c>
      <c r="E8" s="211" t="s">
        <v>20</v>
      </c>
      <c r="F8" s="211" t="s">
        <v>145</v>
      </c>
      <c r="G8" s="389"/>
      <c r="H8" s="211" t="s">
        <v>19</v>
      </c>
      <c r="I8" s="211" t="s">
        <v>20</v>
      </c>
      <c r="J8" s="211" t="s">
        <v>145</v>
      </c>
      <c r="K8" s="389"/>
      <c r="L8" s="211" t="s">
        <v>19</v>
      </c>
      <c r="M8" s="211" t="s">
        <v>20</v>
      </c>
      <c r="N8" s="211" t="s">
        <v>145</v>
      </c>
    </row>
    <row r="9" spans="1:26" s="364" customFormat="1" ht="9" customHeight="1" thickBot="1" x14ac:dyDescent="0.35">
      <c r="A9" s="31"/>
      <c r="B9" s="31"/>
      <c r="C9" s="78"/>
      <c r="D9" s="78"/>
      <c r="E9" s="78"/>
      <c r="F9" s="78"/>
      <c r="G9" s="78"/>
      <c r="H9" s="31"/>
      <c r="I9" s="79"/>
      <c r="J9" s="78"/>
      <c r="K9" s="78"/>
      <c r="L9" s="31"/>
      <c r="M9" s="79"/>
      <c r="N9" s="78"/>
    </row>
    <row r="10" spans="1:26" ht="18.75" customHeight="1" x14ac:dyDescent="0.3">
      <c r="A10" s="34"/>
      <c r="B10" s="34"/>
      <c r="C10" s="21"/>
      <c r="D10" s="21"/>
      <c r="E10" s="21"/>
      <c r="F10" s="21"/>
      <c r="G10" s="21"/>
      <c r="H10" s="34"/>
      <c r="I10" s="72"/>
      <c r="J10" s="21"/>
      <c r="K10" s="21"/>
      <c r="L10" s="34"/>
      <c r="M10" s="72"/>
      <c r="N10" s="21"/>
    </row>
    <row r="11" spans="1:26" s="66" customFormat="1" ht="30" customHeight="1" x14ac:dyDescent="0.25">
      <c r="A11" s="390" t="s">
        <v>244</v>
      </c>
      <c r="B11" s="390"/>
      <c r="C11" s="391"/>
      <c r="D11" s="492">
        <v>98.2</v>
      </c>
      <c r="E11" s="492">
        <v>97.4</v>
      </c>
      <c r="F11" s="492">
        <v>95.3</v>
      </c>
      <c r="G11" s="492"/>
      <c r="H11" s="492">
        <v>98.1</v>
      </c>
      <c r="I11" s="492">
        <v>97.6</v>
      </c>
      <c r="J11" s="492">
        <v>95.5</v>
      </c>
      <c r="K11" s="492"/>
      <c r="L11" s="492">
        <v>97.8</v>
      </c>
      <c r="M11" s="492">
        <v>97.7</v>
      </c>
      <c r="N11" s="492">
        <v>95.8</v>
      </c>
      <c r="P11" s="392"/>
      <c r="R11" s="392"/>
      <c r="T11" s="392"/>
      <c r="V11" s="392"/>
      <c r="X11" s="392"/>
      <c r="Z11" s="392"/>
    </row>
    <row r="12" spans="1:26" s="396" customFormat="1" ht="30" customHeight="1" x14ac:dyDescent="0.25">
      <c r="A12" s="393" t="s">
        <v>1</v>
      </c>
      <c r="B12" s="394"/>
      <c r="C12" s="395"/>
      <c r="D12" s="493">
        <v>99.1</v>
      </c>
      <c r="E12" s="493">
        <v>98.5</v>
      </c>
      <c r="F12" s="493">
        <v>97.1</v>
      </c>
      <c r="G12" s="493"/>
      <c r="H12" s="493">
        <v>98.4</v>
      </c>
      <c r="I12" s="493">
        <v>98.9</v>
      </c>
      <c r="J12" s="493">
        <v>97.7</v>
      </c>
      <c r="K12" s="493"/>
      <c r="L12" s="493">
        <v>99.9</v>
      </c>
      <c r="M12" s="493">
        <v>99.3</v>
      </c>
      <c r="N12" s="493">
        <v>98.3</v>
      </c>
      <c r="P12" s="397"/>
      <c r="R12" s="397"/>
      <c r="T12" s="397"/>
      <c r="V12" s="397"/>
      <c r="X12" s="397"/>
      <c r="Z12" s="397"/>
    </row>
    <row r="13" spans="1:26" s="66" customFormat="1" ht="30" customHeight="1" x14ac:dyDescent="0.25">
      <c r="A13" s="398" t="s">
        <v>2</v>
      </c>
      <c r="B13" s="399"/>
      <c r="C13" s="391"/>
      <c r="D13" s="494">
        <v>98.5</v>
      </c>
      <c r="E13" s="494">
        <v>98.4</v>
      </c>
      <c r="F13" s="494">
        <v>95.3</v>
      </c>
      <c r="G13" s="494"/>
      <c r="H13" s="494">
        <v>98.7</v>
      </c>
      <c r="I13" s="494">
        <v>98.8</v>
      </c>
      <c r="J13" s="494">
        <v>96.5</v>
      </c>
      <c r="K13" s="494"/>
      <c r="L13" s="494">
        <v>98.4</v>
      </c>
      <c r="M13" s="494">
        <v>98.9</v>
      </c>
      <c r="N13" s="494">
        <v>97</v>
      </c>
      <c r="P13" s="392"/>
      <c r="R13" s="392"/>
      <c r="T13" s="392"/>
      <c r="V13" s="392"/>
      <c r="X13" s="392"/>
      <c r="Z13" s="392"/>
    </row>
    <row r="14" spans="1:26" s="396" customFormat="1" ht="30" customHeight="1" x14ac:dyDescent="0.25">
      <c r="A14" s="393" t="s">
        <v>3</v>
      </c>
      <c r="B14" s="394"/>
      <c r="C14" s="395"/>
      <c r="D14" s="493">
        <v>99.6</v>
      </c>
      <c r="E14" s="493">
        <v>97</v>
      </c>
      <c r="F14" s="493">
        <v>94</v>
      </c>
      <c r="G14" s="493"/>
      <c r="H14" s="493">
        <v>99.6</v>
      </c>
      <c r="I14" s="493">
        <v>97.7</v>
      </c>
      <c r="J14" s="493">
        <v>94.7</v>
      </c>
      <c r="K14" s="493"/>
      <c r="L14" s="493">
        <v>99.7</v>
      </c>
      <c r="M14" s="493">
        <v>98.1</v>
      </c>
      <c r="N14" s="493">
        <v>95.2</v>
      </c>
      <c r="P14" s="397"/>
      <c r="R14" s="397"/>
      <c r="T14" s="397"/>
      <c r="V14" s="397"/>
      <c r="X14" s="397"/>
      <c r="Z14" s="397"/>
    </row>
    <row r="15" spans="1:26" s="66" customFormat="1" ht="30" customHeight="1" x14ac:dyDescent="0.25">
      <c r="A15" s="398" t="s">
        <v>4</v>
      </c>
      <c r="B15" s="399"/>
      <c r="C15" s="391"/>
      <c r="D15" s="494">
        <v>99.8</v>
      </c>
      <c r="E15" s="494">
        <v>99.4</v>
      </c>
      <c r="F15" s="494">
        <v>97.8</v>
      </c>
      <c r="G15" s="494"/>
      <c r="H15" s="494">
        <v>99.5</v>
      </c>
      <c r="I15" s="494">
        <v>99.4</v>
      </c>
      <c r="J15" s="494">
        <v>98.2</v>
      </c>
      <c r="K15" s="494"/>
      <c r="L15" s="494">
        <v>99.6</v>
      </c>
      <c r="M15" s="494">
        <v>99.2</v>
      </c>
      <c r="N15" s="494">
        <v>97.7</v>
      </c>
      <c r="P15" s="392"/>
      <c r="R15" s="392"/>
      <c r="T15" s="392"/>
      <c r="V15" s="392"/>
      <c r="X15" s="392"/>
      <c r="Z15" s="392"/>
    </row>
    <row r="16" spans="1:26" s="396" customFormat="1" ht="30" customHeight="1" x14ac:dyDescent="0.25">
      <c r="A16" s="400" t="s">
        <v>5</v>
      </c>
      <c r="B16" s="401"/>
      <c r="C16" s="401"/>
      <c r="D16" s="493">
        <v>99.7</v>
      </c>
      <c r="E16" s="493">
        <v>98.5</v>
      </c>
      <c r="F16" s="493">
        <v>96.9</v>
      </c>
      <c r="G16" s="493"/>
      <c r="H16" s="493">
        <v>100</v>
      </c>
      <c r="I16" s="493">
        <v>99</v>
      </c>
      <c r="J16" s="493">
        <v>97.5</v>
      </c>
      <c r="K16" s="493"/>
      <c r="L16" s="493">
        <v>99.8</v>
      </c>
      <c r="M16" s="493">
        <v>98.7</v>
      </c>
      <c r="N16" s="493">
        <v>97.3</v>
      </c>
      <c r="P16" s="397"/>
      <c r="R16" s="397"/>
      <c r="T16" s="397"/>
      <c r="V16" s="397"/>
      <c r="X16" s="397"/>
      <c r="Z16" s="397"/>
    </row>
    <row r="17" spans="1:26" s="66" customFormat="1" ht="30" customHeight="1" x14ac:dyDescent="0.25">
      <c r="A17" s="398" t="s">
        <v>6</v>
      </c>
      <c r="B17" s="399"/>
      <c r="C17" s="391"/>
      <c r="D17" s="494">
        <v>100</v>
      </c>
      <c r="E17" s="494">
        <v>98.9</v>
      </c>
      <c r="F17" s="494">
        <v>97.6</v>
      </c>
      <c r="G17" s="494"/>
      <c r="H17" s="494">
        <v>100</v>
      </c>
      <c r="I17" s="494">
        <v>98.8</v>
      </c>
      <c r="J17" s="494">
        <v>97.2</v>
      </c>
      <c r="K17" s="494"/>
      <c r="L17" s="494">
        <v>99.3</v>
      </c>
      <c r="M17" s="494">
        <v>98.3</v>
      </c>
      <c r="N17" s="494">
        <v>96.8</v>
      </c>
      <c r="P17" s="392"/>
      <c r="R17" s="392"/>
      <c r="T17" s="392"/>
      <c r="V17" s="392"/>
      <c r="X17" s="392"/>
      <c r="Z17" s="392"/>
    </row>
    <row r="18" spans="1:26" s="396" customFormat="1" ht="30" customHeight="1" x14ac:dyDescent="0.25">
      <c r="A18" s="393" t="s">
        <v>7</v>
      </c>
      <c r="B18" s="394"/>
      <c r="C18" s="395"/>
      <c r="D18" s="493">
        <v>99.9</v>
      </c>
      <c r="E18" s="493">
        <v>98.8</v>
      </c>
      <c r="F18" s="493">
        <v>96.2</v>
      </c>
      <c r="G18" s="493"/>
      <c r="H18" s="493">
        <v>99.9</v>
      </c>
      <c r="I18" s="493">
        <v>98.7</v>
      </c>
      <c r="J18" s="493">
        <v>96.2</v>
      </c>
      <c r="K18" s="493"/>
      <c r="L18" s="493">
        <v>99.5</v>
      </c>
      <c r="M18" s="493">
        <v>98.8</v>
      </c>
      <c r="N18" s="493">
        <v>96.6</v>
      </c>
      <c r="P18" s="397"/>
      <c r="R18" s="397"/>
      <c r="T18" s="397"/>
      <c r="V18" s="397"/>
      <c r="X18" s="397"/>
      <c r="Z18" s="397"/>
    </row>
    <row r="19" spans="1:26" s="66" customFormat="1" ht="30" customHeight="1" x14ac:dyDescent="0.25">
      <c r="A19" s="398" t="s">
        <v>8</v>
      </c>
      <c r="B19" s="399"/>
      <c r="C19" s="391"/>
      <c r="D19" s="494">
        <v>100</v>
      </c>
      <c r="E19" s="494">
        <v>98</v>
      </c>
      <c r="F19" s="494">
        <v>96</v>
      </c>
      <c r="G19" s="494"/>
      <c r="H19" s="494">
        <v>99</v>
      </c>
      <c r="I19" s="494">
        <v>98.5</v>
      </c>
      <c r="J19" s="494">
        <v>96.5</v>
      </c>
      <c r="K19" s="494"/>
      <c r="L19" s="494">
        <v>99.6</v>
      </c>
      <c r="M19" s="494">
        <v>98.4</v>
      </c>
      <c r="N19" s="494">
        <v>96.9</v>
      </c>
      <c r="P19" s="392"/>
      <c r="R19" s="392"/>
      <c r="T19" s="392"/>
      <c r="V19" s="392"/>
      <c r="X19" s="392"/>
      <c r="Z19" s="392"/>
    </row>
    <row r="20" spans="1:26" s="396" customFormat="1" ht="30" customHeight="1" x14ac:dyDescent="0.25">
      <c r="A20" s="400" t="s">
        <v>9</v>
      </c>
      <c r="D20" s="493">
        <v>99.6</v>
      </c>
      <c r="E20" s="493">
        <v>98.8</v>
      </c>
      <c r="F20" s="493">
        <v>97.1</v>
      </c>
      <c r="G20" s="493"/>
      <c r="H20" s="493">
        <v>94.5</v>
      </c>
      <c r="I20" s="493">
        <v>97.9</v>
      </c>
      <c r="J20" s="493">
        <v>96.9</v>
      </c>
      <c r="K20" s="493"/>
      <c r="L20" s="493">
        <v>98.7</v>
      </c>
      <c r="M20" s="493">
        <v>99.1</v>
      </c>
      <c r="N20" s="493">
        <v>98</v>
      </c>
      <c r="P20" s="397"/>
      <c r="R20" s="397"/>
      <c r="T20" s="397"/>
      <c r="V20" s="397"/>
      <c r="X20" s="397"/>
      <c r="Z20" s="397"/>
    </row>
    <row r="21" spans="1:26" s="66" customFormat="1" ht="30" customHeight="1" x14ac:dyDescent="0.25">
      <c r="A21" s="398" t="s">
        <v>10</v>
      </c>
      <c r="B21" s="399"/>
      <c r="C21" s="391"/>
      <c r="D21" s="494">
        <v>88.9</v>
      </c>
      <c r="E21" s="494">
        <v>88.6</v>
      </c>
      <c r="F21" s="494">
        <v>85.6</v>
      </c>
      <c r="G21" s="494"/>
      <c r="H21" s="494">
        <v>90.5</v>
      </c>
      <c r="I21" s="494">
        <v>88.8</v>
      </c>
      <c r="J21" s="494">
        <v>85.4</v>
      </c>
      <c r="K21" s="494"/>
      <c r="L21" s="494">
        <v>87</v>
      </c>
      <c r="M21" s="494">
        <v>88.6</v>
      </c>
      <c r="N21" s="494">
        <v>85.5</v>
      </c>
      <c r="P21" s="392"/>
      <c r="R21" s="392"/>
      <c r="T21" s="392"/>
      <c r="V21" s="392"/>
      <c r="X21" s="392"/>
      <c r="Z21" s="392"/>
    </row>
    <row r="22" spans="1:26" s="396" customFormat="1" ht="30" customHeight="1" x14ac:dyDescent="0.25">
      <c r="A22" s="393" t="s">
        <v>11</v>
      </c>
      <c r="B22" s="394"/>
      <c r="C22" s="395"/>
      <c r="D22" s="493">
        <v>99</v>
      </c>
      <c r="E22" s="493">
        <v>94.7</v>
      </c>
      <c r="F22" s="493">
        <v>90.1</v>
      </c>
      <c r="G22" s="493"/>
      <c r="H22" s="493">
        <v>99</v>
      </c>
      <c r="I22" s="493">
        <v>95.7</v>
      </c>
      <c r="J22" s="493">
        <v>91.1</v>
      </c>
      <c r="K22" s="493"/>
      <c r="L22" s="493">
        <v>99.6</v>
      </c>
      <c r="M22" s="493">
        <v>95.7</v>
      </c>
      <c r="N22" s="493">
        <v>91.4</v>
      </c>
      <c r="P22" s="397"/>
      <c r="R22" s="397"/>
      <c r="T22" s="397"/>
      <c r="V22" s="397"/>
      <c r="X22" s="397"/>
      <c r="Z22" s="397"/>
    </row>
    <row r="23" spans="1:26" s="66" customFormat="1" ht="30" customHeight="1" x14ac:dyDescent="0.25">
      <c r="A23" s="398" t="s">
        <v>12</v>
      </c>
      <c r="B23" s="399"/>
      <c r="C23" s="391"/>
      <c r="D23" s="494">
        <v>99.6</v>
      </c>
      <c r="E23" s="494">
        <v>99.2</v>
      </c>
      <c r="F23" s="494">
        <v>98</v>
      </c>
      <c r="G23" s="494"/>
      <c r="H23" s="494">
        <v>99.9</v>
      </c>
      <c r="I23" s="494">
        <v>99.6</v>
      </c>
      <c r="J23" s="494">
        <v>97.7</v>
      </c>
      <c r="K23" s="494"/>
      <c r="L23" s="494">
        <v>99.9</v>
      </c>
      <c r="M23" s="494">
        <v>99.5</v>
      </c>
      <c r="N23" s="494">
        <v>98.2</v>
      </c>
      <c r="P23" s="392"/>
      <c r="R23" s="392"/>
      <c r="T23" s="392"/>
      <c r="V23" s="392"/>
      <c r="X23" s="392"/>
      <c r="Z23" s="392"/>
    </row>
    <row r="24" spans="1:26" s="396" customFormat="1" ht="30" customHeight="1" x14ac:dyDescent="0.25">
      <c r="A24" s="400" t="s">
        <v>13</v>
      </c>
      <c r="D24" s="495">
        <v>99.2</v>
      </c>
      <c r="E24" s="495">
        <v>98.4</v>
      </c>
      <c r="F24" s="495">
        <v>96.3</v>
      </c>
      <c r="G24" s="495"/>
      <c r="H24" s="495">
        <v>99.4</v>
      </c>
      <c r="I24" s="495">
        <v>98.8</v>
      </c>
      <c r="J24" s="495">
        <v>96.2</v>
      </c>
      <c r="K24" s="495"/>
      <c r="L24" s="495">
        <v>99.3</v>
      </c>
      <c r="M24" s="495">
        <v>98.9</v>
      </c>
      <c r="N24" s="495">
        <v>97.1</v>
      </c>
      <c r="P24" s="397"/>
      <c r="R24" s="397"/>
      <c r="T24" s="397"/>
      <c r="V24" s="397"/>
      <c r="X24" s="397"/>
      <c r="Z24" s="397"/>
    </row>
    <row r="25" spans="1:26" s="66" customFormat="1" ht="30" customHeight="1" x14ac:dyDescent="0.25">
      <c r="A25" s="402" t="s">
        <v>14</v>
      </c>
      <c r="B25" s="403"/>
      <c r="C25" s="403"/>
      <c r="D25" s="496">
        <v>100</v>
      </c>
      <c r="E25" s="496">
        <v>99.5</v>
      </c>
      <c r="F25" s="496">
        <v>98.7</v>
      </c>
      <c r="G25" s="497"/>
      <c r="H25" s="496">
        <v>99.8</v>
      </c>
      <c r="I25" s="496">
        <v>99.7</v>
      </c>
      <c r="J25" s="496">
        <v>99.2</v>
      </c>
      <c r="K25" s="497"/>
      <c r="L25" s="496">
        <v>100</v>
      </c>
      <c r="M25" s="496">
        <v>99.7</v>
      </c>
      <c r="N25" s="496">
        <v>99.3</v>
      </c>
      <c r="P25" s="392"/>
      <c r="R25" s="392"/>
      <c r="T25" s="392"/>
      <c r="V25" s="392"/>
      <c r="X25" s="392"/>
      <c r="Z25" s="392"/>
    </row>
    <row r="26" spans="1:26" s="396" customFormat="1" ht="30" customHeight="1" x14ac:dyDescent="0.25">
      <c r="A26" s="400" t="s">
        <v>15</v>
      </c>
      <c r="B26" s="404"/>
      <c r="C26" s="404"/>
      <c r="D26" s="495">
        <v>97.3</v>
      </c>
      <c r="E26" s="495">
        <v>96.5</v>
      </c>
      <c r="F26" s="495">
        <v>94.6</v>
      </c>
      <c r="G26" s="495"/>
      <c r="H26" s="495">
        <v>100</v>
      </c>
      <c r="I26" s="495">
        <v>97.1</v>
      </c>
      <c r="J26" s="495">
        <v>95.7</v>
      </c>
      <c r="K26" s="495"/>
      <c r="L26" s="495">
        <v>96.2</v>
      </c>
      <c r="M26" s="495">
        <v>93.1</v>
      </c>
      <c r="N26" s="495">
        <v>91.1</v>
      </c>
      <c r="P26" s="397"/>
      <c r="R26" s="397"/>
      <c r="T26" s="397"/>
      <c r="V26" s="397"/>
      <c r="X26" s="397"/>
      <c r="Z26" s="397"/>
    </row>
    <row r="27" spans="1:26" s="68" customFormat="1" ht="30" customHeight="1" x14ac:dyDescent="0.25">
      <c r="A27" s="402" t="s">
        <v>16</v>
      </c>
      <c r="B27" s="66"/>
      <c r="C27" s="66"/>
      <c r="D27" s="497">
        <v>100</v>
      </c>
      <c r="E27" s="497">
        <v>100</v>
      </c>
      <c r="F27" s="497">
        <v>100</v>
      </c>
      <c r="G27" s="497"/>
      <c r="H27" s="497">
        <v>100</v>
      </c>
      <c r="I27" s="497">
        <v>100</v>
      </c>
      <c r="J27" s="497">
        <v>100</v>
      </c>
      <c r="K27" s="497"/>
      <c r="L27" s="497">
        <v>100</v>
      </c>
      <c r="M27" s="497">
        <v>100</v>
      </c>
      <c r="N27" s="497">
        <v>100</v>
      </c>
      <c r="P27" s="392"/>
      <c r="R27" s="392"/>
      <c r="T27" s="392"/>
      <c r="V27" s="392"/>
      <c r="X27" s="392"/>
      <c r="Z27" s="392"/>
    </row>
    <row r="28" spans="1:26" s="68" customFormat="1" ht="18.75" customHeight="1" x14ac:dyDescent="0.25">
      <c r="A28" s="405"/>
      <c r="B28" s="405"/>
      <c r="C28" s="182"/>
      <c r="D28" s="498"/>
      <c r="E28" s="498"/>
      <c r="F28" s="498"/>
      <c r="G28" s="498"/>
      <c r="H28" s="498"/>
      <c r="I28" s="498"/>
      <c r="J28" s="498"/>
      <c r="K28" s="498"/>
      <c r="L28" s="498"/>
      <c r="M28" s="498"/>
      <c r="N28" s="498"/>
    </row>
    <row r="29" spans="1:26" s="408" customFormat="1" ht="30" customHeight="1" x14ac:dyDescent="0.25">
      <c r="A29" s="406" t="s">
        <v>245</v>
      </c>
      <c r="B29" s="406"/>
      <c r="C29" s="407"/>
      <c r="D29" s="499">
        <v>98.1</v>
      </c>
      <c r="E29" s="499">
        <v>97.7</v>
      </c>
      <c r="F29" s="499">
        <v>97</v>
      </c>
      <c r="G29" s="499"/>
      <c r="H29" s="499">
        <v>97.4</v>
      </c>
      <c r="I29" s="499">
        <v>97.7</v>
      </c>
      <c r="J29" s="499">
        <v>97.1</v>
      </c>
      <c r="K29" s="499"/>
      <c r="L29" s="499">
        <v>97.2</v>
      </c>
      <c r="M29" s="499">
        <v>97.7</v>
      </c>
      <c r="N29" s="499">
        <v>97.2</v>
      </c>
      <c r="P29" s="397"/>
      <c r="R29" s="397"/>
      <c r="T29" s="397"/>
      <c r="V29" s="397"/>
      <c r="X29" s="397"/>
      <c r="Z29" s="397"/>
    </row>
    <row r="30" spans="1:26" s="410" customFormat="1" ht="30" customHeight="1" x14ac:dyDescent="0.25">
      <c r="A30" s="398" t="s">
        <v>1</v>
      </c>
      <c r="B30" s="398"/>
      <c r="C30" s="409"/>
      <c r="D30" s="497">
        <v>98.9</v>
      </c>
      <c r="E30" s="497">
        <v>98.8</v>
      </c>
      <c r="F30" s="497">
        <v>98.5</v>
      </c>
      <c r="G30" s="497"/>
      <c r="H30" s="497">
        <v>95.8</v>
      </c>
      <c r="I30" s="497">
        <v>98.1</v>
      </c>
      <c r="J30" s="497">
        <v>97.8</v>
      </c>
      <c r="K30" s="497"/>
      <c r="L30" s="497">
        <v>98.6</v>
      </c>
      <c r="M30" s="497">
        <v>99.1</v>
      </c>
      <c r="N30" s="497">
        <v>98.8</v>
      </c>
      <c r="P30" s="392"/>
      <c r="R30" s="392"/>
      <c r="T30" s="392"/>
      <c r="V30" s="392"/>
      <c r="X30" s="392"/>
      <c r="Z30" s="392"/>
    </row>
    <row r="31" spans="1:26" s="408" customFormat="1" ht="30" customHeight="1" x14ac:dyDescent="0.25">
      <c r="A31" s="393" t="s">
        <v>2</v>
      </c>
      <c r="B31" s="393"/>
      <c r="C31" s="411"/>
      <c r="D31" s="495">
        <v>96.1</v>
      </c>
      <c r="E31" s="495">
        <v>97.7</v>
      </c>
      <c r="F31" s="495">
        <v>97</v>
      </c>
      <c r="G31" s="495"/>
      <c r="H31" s="495">
        <v>96.8</v>
      </c>
      <c r="I31" s="495">
        <v>97.5</v>
      </c>
      <c r="J31" s="495">
        <v>97</v>
      </c>
      <c r="K31" s="495"/>
      <c r="L31" s="495">
        <v>97.9</v>
      </c>
      <c r="M31" s="495">
        <v>97.9</v>
      </c>
      <c r="N31" s="495">
        <v>97.6</v>
      </c>
      <c r="P31" s="397"/>
      <c r="R31" s="397"/>
      <c r="T31" s="397"/>
      <c r="V31" s="397"/>
      <c r="X31" s="397"/>
      <c r="Z31" s="397"/>
    </row>
    <row r="32" spans="1:26" s="410" customFormat="1" ht="30" customHeight="1" x14ac:dyDescent="0.25">
      <c r="A32" s="398" t="s">
        <v>3</v>
      </c>
      <c r="B32" s="398"/>
      <c r="C32" s="409"/>
      <c r="D32" s="497">
        <v>98.7</v>
      </c>
      <c r="E32" s="497">
        <v>96.9</v>
      </c>
      <c r="F32" s="497">
        <v>95.9</v>
      </c>
      <c r="G32" s="497"/>
      <c r="H32" s="497">
        <v>98.9</v>
      </c>
      <c r="I32" s="497">
        <v>97.6</v>
      </c>
      <c r="J32" s="497">
        <v>96.7</v>
      </c>
      <c r="K32" s="497"/>
      <c r="L32" s="497">
        <v>98</v>
      </c>
      <c r="M32" s="497">
        <v>97.2</v>
      </c>
      <c r="N32" s="497">
        <v>96.3</v>
      </c>
      <c r="P32" s="392"/>
      <c r="R32" s="392"/>
      <c r="T32" s="392"/>
      <c r="V32" s="392"/>
      <c r="X32" s="392"/>
      <c r="Z32" s="392"/>
    </row>
    <row r="33" spans="1:26" s="408" customFormat="1" ht="30" customHeight="1" x14ac:dyDescent="0.25">
      <c r="A33" s="393" t="s">
        <v>4</v>
      </c>
      <c r="B33" s="393"/>
      <c r="C33" s="411"/>
      <c r="D33" s="495">
        <v>99.6</v>
      </c>
      <c r="E33" s="495">
        <v>98.7</v>
      </c>
      <c r="F33" s="495">
        <v>98.4</v>
      </c>
      <c r="G33" s="495"/>
      <c r="H33" s="495">
        <v>99.5</v>
      </c>
      <c r="I33" s="495">
        <v>99.2</v>
      </c>
      <c r="J33" s="495">
        <v>99.1</v>
      </c>
      <c r="K33" s="495"/>
      <c r="L33" s="495">
        <v>99.7</v>
      </c>
      <c r="M33" s="495">
        <v>99.8</v>
      </c>
      <c r="N33" s="495">
        <v>99.7</v>
      </c>
      <c r="P33" s="397"/>
      <c r="R33" s="397"/>
      <c r="T33" s="397"/>
      <c r="V33" s="397"/>
      <c r="X33" s="397"/>
      <c r="Z33" s="397"/>
    </row>
    <row r="34" spans="1:26" s="410" customFormat="1" ht="30" customHeight="1" x14ac:dyDescent="0.25">
      <c r="A34" s="515" t="s">
        <v>5</v>
      </c>
      <c r="B34" s="515"/>
      <c r="C34" s="515"/>
      <c r="D34" s="497">
        <v>99.7</v>
      </c>
      <c r="E34" s="497">
        <v>98.8</v>
      </c>
      <c r="F34" s="497">
        <v>98.5</v>
      </c>
      <c r="G34" s="497"/>
      <c r="H34" s="497">
        <v>99.8</v>
      </c>
      <c r="I34" s="497">
        <v>99.3</v>
      </c>
      <c r="J34" s="497">
        <v>99.1</v>
      </c>
      <c r="K34" s="497"/>
      <c r="L34" s="497">
        <v>99.9</v>
      </c>
      <c r="M34" s="497">
        <v>98.5</v>
      </c>
      <c r="N34" s="497">
        <v>98.2</v>
      </c>
      <c r="P34" s="392"/>
      <c r="R34" s="392"/>
      <c r="T34" s="392"/>
      <c r="V34" s="392"/>
      <c r="X34" s="392"/>
      <c r="Z34" s="392"/>
    </row>
    <row r="35" spans="1:26" s="408" customFormat="1" ht="30" customHeight="1" x14ac:dyDescent="0.25">
      <c r="A35" s="393" t="s">
        <v>6</v>
      </c>
      <c r="B35" s="393"/>
      <c r="C35" s="411"/>
      <c r="D35" s="495">
        <v>99.5</v>
      </c>
      <c r="E35" s="495">
        <v>98.5</v>
      </c>
      <c r="F35" s="495">
        <v>97.8</v>
      </c>
      <c r="G35" s="495"/>
      <c r="H35" s="495">
        <v>99.4</v>
      </c>
      <c r="I35" s="495">
        <v>98.9</v>
      </c>
      <c r="J35" s="495">
        <v>98.6</v>
      </c>
      <c r="K35" s="495"/>
      <c r="L35" s="495">
        <v>99.2</v>
      </c>
      <c r="M35" s="495">
        <v>98.6</v>
      </c>
      <c r="N35" s="495">
        <v>98.3</v>
      </c>
      <c r="P35" s="397"/>
      <c r="R35" s="397"/>
      <c r="T35" s="397"/>
      <c r="V35" s="397"/>
      <c r="X35" s="397"/>
      <c r="Z35" s="397"/>
    </row>
    <row r="36" spans="1:26" s="410" customFormat="1" ht="30" customHeight="1" x14ac:dyDescent="0.25">
      <c r="A36" s="398" t="s">
        <v>7</v>
      </c>
      <c r="B36" s="398"/>
      <c r="C36" s="409"/>
      <c r="D36" s="497">
        <v>99.7</v>
      </c>
      <c r="E36" s="497">
        <v>98.7</v>
      </c>
      <c r="F36" s="497">
        <v>97.9</v>
      </c>
      <c r="G36" s="497"/>
      <c r="H36" s="497">
        <v>99.8</v>
      </c>
      <c r="I36" s="497">
        <v>98.8</v>
      </c>
      <c r="J36" s="497">
        <v>98.2</v>
      </c>
      <c r="K36" s="497"/>
      <c r="L36" s="497">
        <v>98</v>
      </c>
      <c r="M36" s="497">
        <v>97.7</v>
      </c>
      <c r="N36" s="497">
        <v>97.1</v>
      </c>
      <c r="P36" s="392"/>
      <c r="R36" s="392"/>
      <c r="T36" s="392"/>
      <c r="V36" s="392"/>
      <c r="X36" s="392"/>
      <c r="Z36" s="392"/>
    </row>
    <row r="37" spans="1:26" s="408" customFormat="1" ht="30" customHeight="1" x14ac:dyDescent="0.25">
      <c r="A37" s="393" t="s">
        <v>8</v>
      </c>
      <c r="B37" s="393"/>
      <c r="C37" s="411"/>
      <c r="D37" s="495">
        <v>100</v>
      </c>
      <c r="E37" s="495">
        <v>98.9</v>
      </c>
      <c r="F37" s="495">
        <v>98.5</v>
      </c>
      <c r="G37" s="495"/>
      <c r="H37" s="495">
        <v>99.5</v>
      </c>
      <c r="I37" s="495">
        <v>98.7</v>
      </c>
      <c r="J37" s="495">
        <v>98.3</v>
      </c>
      <c r="K37" s="495"/>
      <c r="L37" s="495">
        <v>98.9</v>
      </c>
      <c r="M37" s="495">
        <v>97.7</v>
      </c>
      <c r="N37" s="495">
        <v>97.4</v>
      </c>
      <c r="P37" s="397"/>
      <c r="R37" s="397"/>
      <c r="T37" s="397"/>
      <c r="V37" s="397"/>
      <c r="X37" s="397"/>
      <c r="Z37" s="397"/>
    </row>
    <row r="38" spans="1:26" s="410" customFormat="1" ht="30" customHeight="1" x14ac:dyDescent="0.25">
      <c r="A38" s="515" t="s">
        <v>9</v>
      </c>
      <c r="B38" s="515"/>
      <c r="C38" s="515"/>
      <c r="D38" s="497">
        <v>98.7</v>
      </c>
      <c r="E38" s="497">
        <v>98.7</v>
      </c>
      <c r="F38" s="497">
        <v>98.4</v>
      </c>
      <c r="G38" s="497"/>
      <c r="H38" s="497">
        <v>98.3</v>
      </c>
      <c r="I38" s="497">
        <v>98.3</v>
      </c>
      <c r="J38" s="497">
        <v>98.2</v>
      </c>
      <c r="K38" s="497"/>
      <c r="L38" s="497">
        <v>99.5</v>
      </c>
      <c r="M38" s="497">
        <v>98.9</v>
      </c>
      <c r="N38" s="497">
        <v>98.6</v>
      </c>
      <c r="P38" s="392"/>
      <c r="R38" s="392"/>
      <c r="T38" s="392"/>
      <c r="V38" s="392"/>
      <c r="X38" s="392"/>
      <c r="Z38" s="392"/>
    </row>
    <row r="39" spans="1:26" s="408" customFormat="1" ht="30" customHeight="1" x14ac:dyDescent="0.25">
      <c r="A39" s="393" t="s">
        <v>10</v>
      </c>
      <c r="B39" s="393"/>
      <c r="C39" s="411"/>
      <c r="D39" s="495">
        <v>91.2</v>
      </c>
      <c r="E39" s="495">
        <v>90.9</v>
      </c>
      <c r="F39" s="495">
        <v>89.3</v>
      </c>
      <c r="G39" s="495"/>
      <c r="H39" s="495">
        <v>89.1</v>
      </c>
      <c r="I39" s="495">
        <v>89.9</v>
      </c>
      <c r="J39" s="495">
        <v>88.4</v>
      </c>
      <c r="K39" s="495"/>
      <c r="L39" s="495">
        <v>86.9</v>
      </c>
      <c r="M39" s="495">
        <v>90.2</v>
      </c>
      <c r="N39" s="495">
        <v>88.5</v>
      </c>
      <c r="P39" s="397"/>
      <c r="R39" s="397"/>
      <c r="T39" s="397"/>
      <c r="V39" s="397"/>
      <c r="X39" s="397"/>
      <c r="Z39" s="397"/>
    </row>
    <row r="40" spans="1:26" s="410" customFormat="1" ht="30" customHeight="1" x14ac:dyDescent="0.25">
      <c r="A40" s="398" t="s">
        <v>11</v>
      </c>
      <c r="B40" s="398"/>
      <c r="C40" s="409"/>
      <c r="D40" s="497">
        <v>99</v>
      </c>
      <c r="E40" s="497">
        <v>97.1</v>
      </c>
      <c r="F40" s="497">
        <v>94.8</v>
      </c>
      <c r="G40" s="497"/>
      <c r="H40" s="497">
        <v>99.5</v>
      </c>
      <c r="I40" s="497">
        <v>98</v>
      </c>
      <c r="J40" s="497">
        <v>96.1</v>
      </c>
      <c r="K40" s="497"/>
      <c r="L40" s="497">
        <v>99.3</v>
      </c>
      <c r="M40" s="497">
        <v>97.9</v>
      </c>
      <c r="N40" s="497">
        <v>96.2</v>
      </c>
      <c r="P40" s="392"/>
      <c r="R40" s="392"/>
      <c r="T40" s="392"/>
      <c r="V40" s="392"/>
      <c r="X40" s="392"/>
      <c r="Z40" s="392"/>
    </row>
    <row r="41" spans="1:26" s="412" customFormat="1" ht="30" customHeight="1" x14ac:dyDescent="0.25">
      <c r="A41" s="393" t="s">
        <v>12</v>
      </c>
      <c r="B41" s="393"/>
      <c r="C41" s="411"/>
      <c r="D41" s="500">
        <v>99.6</v>
      </c>
      <c r="E41" s="500">
        <v>99</v>
      </c>
      <c r="F41" s="500">
        <v>98.8</v>
      </c>
      <c r="G41" s="500"/>
      <c r="H41" s="500">
        <v>99.3</v>
      </c>
      <c r="I41" s="500">
        <v>99.6</v>
      </c>
      <c r="J41" s="500">
        <v>99.1</v>
      </c>
      <c r="K41" s="500"/>
      <c r="L41" s="500">
        <v>98.8</v>
      </c>
      <c r="M41" s="500">
        <v>99.3</v>
      </c>
      <c r="N41" s="500">
        <v>99.3</v>
      </c>
      <c r="P41" s="397"/>
      <c r="R41" s="397"/>
      <c r="T41" s="397"/>
      <c r="V41" s="397"/>
      <c r="X41" s="397"/>
      <c r="Z41" s="397"/>
    </row>
    <row r="42" spans="1:26" s="68" customFormat="1" ht="30" customHeight="1" x14ac:dyDescent="0.25">
      <c r="A42" s="515" t="s">
        <v>13</v>
      </c>
      <c r="B42" s="515"/>
      <c r="C42" s="515"/>
      <c r="D42" s="497">
        <v>98.8</v>
      </c>
      <c r="E42" s="497">
        <v>96.8</v>
      </c>
      <c r="F42" s="497">
        <v>96.3</v>
      </c>
      <c r="G42" s="497"/>
      <c r="H42" s="497">
        <v>98.8</v>
      </c>
      <c r="I42" s="497">
        <v>97.4</v>
      </c>
      <c r="J42" s="497">
        <v>96.9</v>
      </c>
      <c r="K42" s="497"/>
      <c r="L42" s="497">
        <v>98.9</v>
      </c>
      <c r="M42" s="497">
        <v>97.3</v>
      </c>
      <c r="N42" s="497">
        <v>96.9</v>
      </c>
      <c r="P42" s="392"/>
      <c r="R42" s="392"/>
      <c r="T42" s="392"/>
      <c r="V42" s="392"/>
      <c r="X42" s="392"/>
      <c r="Z42" s="392"/>
    </row>
    <row r="43" spans="1:26" s="412" customFormat="1" ht="30" customHeight="1" x14ac:dyDescent="0.25">
      <c r="A43" s="516" t="s">
        <v>14</v>
      </c>
      <c r="B43" s="516"/>
      <c r="C43" s="516"/>
      <c r="D43" s="501">
        <v>99.8</v>
      </c>
      <c r="E43" s="501">
        <v>99.1</v>
      </c>
      <c r="F43" s="501">
        <v>99</v>
      </c>
      <c r="G43" s="501"/>
      <c r="H43" s="501">
        <v>99.8</v>
      </c>
      <c r="I43" s="501">
        <v>99.2</v>
      </c>
      <c r="J43" s="501">
        <v>99.3</v>
      </c>
      <c r="K43" s="501"/>
      <c r="L43" s="501">
        <v>99.6</v>
      </c>
      <c r="M43" s="501">
        <v>99.2</v>
      </c>
      <c r="N43" s="501">
        <v>99.2</v>
      </c>
      <c r="P43" s="397"/>
      <c r="R43" s="397"/>
      <c r="T43" s="397"/>
      <c r="V43" s="397"/>
      <c r="X43" s="397"/>
      <c r="Z43" s="397"/>
    </row>
    <row r="44" spans="1:26" s="410" customFormat="1" ht="30" customHeight="1" x14ac:dyDescent="0.25">
      <c r="A44" s="515" t="s">
        <v>15</v>
      </c>
      <c r="B44" s="515"/>
      <c r="C44" s="515"/>
      <c r="D44" s="497">
        <v>93</v>
      </c>
      <c r="E44" s="497">
        <v>93.8</v>
      </c>
      <c r="F44" s="497">
        <v>93.7</v>
      </c>
      <c r="G44" s="497"/>
      <c r="H44" s="497">
        <v>99.8</v>
      </c>
      <c r="I44" s="497">
        <v>97.5</v>
      </c>
      <c r="J44" s="497">
        <v>97.7</v>
      </c>
      <c r="K44" s="497"/>
      <c r="L44" s="497">
        <v>96.3</v>
      </c>
      <c r="M44" s="497">
        <v>92.1</v>
      </c>
      <c r="N44" s="497">
        <v>92.1</v>
      </c>
      <c r="P44" s="392"/>
      <c r="R44" s="392"/>
      <c r="T44" s="392"/>
      <c r="V44" s="392"/>
      <c r="X44" s="392"/>
      <c r="Z44" s="392"/>
    </row>
    <row r="45" spans="1:26" s="408" customFormat="1" ht="30" customHeight="1" x14ac:dyDescent="0.25">
      <c r="A45" s="516" t="s">
        <v>16</v>
      </c>
      <c r="B45" s="516"/>
      <c r="C45" s="516"/>
      <c r="D45" s="495">
        <v>100</v>
      </c>
      <c r="E45" s="495">
        <v>99.5</v>
      </c>
      <c r="F45" s="495">
        <v>99.5</v>
      </c>
      <c r="G45" s="495"/>
      <c r="H45" s="495">
        <v>100</v>
      </c>
      <c r="I45" s="495">
        <v>99.3</v>
      </c>
      <c r="J45" s="495">
        <v>99.3</v>
      </c>
      <c r="K45" s="495"/>
      <c r="L45" s="495">
        <v>100</v>
      </c>
      <c r="M45" s="495">
        <v>100</v>
      </c>
      <c r="N45" s="495">
        <v>99.9</v>
      </c>
      <c r="P45" s="397"/>
      <c r="R45" s="397"/>
      <c r="T45" s="397"/>
      <c r="V45" s="397"/>
      <c r="X45" s="397"/>
      <c r="Z45" s="397"/>
    </row>
    <row r="46" spans="1:26" s="97" customFormat="1" ht="18.75" customHeight="1" thickBot="1" x14ac:dyDescent="0.35">
      <c r="A46" s="413"/>
      <c r="B46" s="413"/>
      <c r="C46" s="198"/>
      <c r="D46" s="414"/>
      <c r="E46" s="414"/>
      <c r="F46" s="414"/>
      <c r="G46" s="415"/>
      <c r="H46" s="415"/>
      <c r="I46" s="416"/>
      <c r="J46" s="414"/>
      <c r="K46" s="415"/>
      <c r="L46" s="415"/>
      <c r="M46" s="416"/>
      <c r="N46" s="414"/>
    </row>
    <row r="47" spans="1:26" ht="18.75" customHeight="1" x14ac:dyDescent="0.3">
      <c r="D47" s="21"/>
      <c r="E47" s="58"/>
      <c r="F47" s="53"/>
      <c r="G47" s="58"/>
      <c r="H47" s="417"/>
      <c r="I47" s="116"/>
      <c r="J47" s="116"/>
      <c r="K47" s="58"/>
      <c r="L47" s="417"/>
      <c r="M47" s="116"/>
      <c r="N47" s="116" t="s">
        <v>17</v>
      </c>
    </row>
    <row r="48" spans="1:26" ht="18.75" customHeight="1" x14ac:dyDescent="0.3">
      <c r="A48" s="63" t="s">
        <v>241</v>
      </c>
      <c r="B48" s="418"/>
      <c r="C48" s="418"/>
      <c r="D48" s="418"/>
      <c r="E48" s="58"/>
      <c r="F48" s="418"/>
      <c r="G48" s="58"/>
      <c r="H48" s="417"/>
      <c r="I48" s="6"/>
      <c r="J48" s="6"/>
      <c r="K48" s="58"/>
      <c r="L48" s="417"/>
      <c r="M48" s="6"/>
      <c r="N48" s="428" t="s">
        <v>18</v>
      </c>
    </row>
    <row r="49" spans="1:14" ht="18.75" customHeight="1" x14ac:dyDescent="0.3">
      <c r="A49" s="257" t="s">
        <v>246</v>
      </c>
      <c r="B49" s="418"/>
      <c r="C49" s="418"/>
      <c r="D49" s="418"/>
      <c r="E49" s="58"/>
      <c r="F49" s="418"/>
      <c r="G49" s="58"/>
      <c r="H49" s="417"/>
      <c r="I49" s="6"/>
      <c r="J49" s="6"/>
      <c r="K49" s="58"/>
      <c r="L49" s="417"/>
      <c r="M49" s="6"/>
      <c r="N49" s="6"/>
    </row>
    <row r="50" spans="1:14" ht="18.75" customHeight="1" x14ac:dyDescent="0.3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</row>
    <row r="51" spans="1:14" ht="18.75" customHeight="1" x14ac:dyDescent="0.3">
      <c r="A51" s="53" t="s">
        <v>275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  <c r="L51" s="453"/>
      <c r="M51" s="453"/>
      <c r="N51" s="453"/>
    </row>
    <row r="52" spans="1:14" ht="18.75" customHeight="1" x14ac:dyDescent="0.3">
      <c r="A52" s="453" t="s">
        <v>276</v>
      </c>
      <c r="B52" s="419"/>
      <c r="C52" s="21"/>
      <c r="D52" s="21"/>
      <c r="E52" s="58"/>
      <c r="F52" s="417"/>
      <c r="G52" s="58"/>
      <c r="H52" s="417"/>
      <c r="I52" s="420"/>
      <c r="J52" s="417"/>
      <c r="K52" s="58"/>
      <c r="L52" s="417"/>
      <c r="M52" s="420"/>
      <c r="N52" s="417"/>
    </row>
  </sheetData>
  <mergeCells count="10">
    <mergeCell ref="L5:N5"/>
    <mergeCell ref="A34:C34"/>
    <mergeCell ref="A38:C38"/>
    <mergeCell ref="A5:A8"/>
    <mergeCell ref="D5:F5"/>
    <mergeCell ref="A44:C44"/>
    <mergeCell ref="A45:C45"/>
    <mergeCell ref="A42:C42"/>
    <mergeCell ref="A43:C43"/>
    <mergeCell ref="H5:J5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tabColor rgb="FFEE6EE8"/>
  </sheetPr>
  <dimension ref="A1:R77"/>
  <sheetViews>
    <sheetView tabSelected="1" view="pageBreakPreview" topLeftCell="A34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9.7109375" style="18" customWidth="1"/>
    <col min="4" max="4" width="24.28515625" style="18" customWidth="1"/>
    <col min="5" max="5" width="13.5703125" style="18" customWidth="1"/>
    <col min="6" max="6" width="13.5703125" style="20" customWidth="1"/>
    <col min="7" max="7" width="13.5703125" style="110" customWidth="1"/>
    <col min="8" max="8" width="1.7109375" style="18" customWidth="1"/>
    <col min="9" max="9" width="13.5703125" style="18" customWidth="1"/>
    <col min="10" max="10" width="13.5703125" style="20" customWidth="1"/>
    <col min="11" max="11" width="13.5703125" style="110" customWidth="1"/>
    <col min="12" max="12" width="1.7109375" style="18" customWidth="1"/>
    <col min="13" max="13" width="13.5703125" style="18" customWidth="1"/>
    <col min="14" max="14" width="13.5703125" style="20" customWidth="1"/>
    <col min="15" max="15" width="13.5703125" style="110" customWidth="1"/>
    <col min="16" max="16384" width="12.42578125" style="18"/>
  </cols>
  <sheetData>
    <row r="1" spans="1:18" s="71" customFormat="1" ht="18.75" customHeight="1" x14ac:dyDescent="0.3">
      <c r="A1" s="70" t="s">
        <v>215</v>
      </c>
      <c r="B1" s="70" t="s">
        <v>80</v>
      </c>
      <c r="C1" s="70" t="s">
        <v>210</v>
      </c>
      <c r="D1" s="70"/>
      <c r="E1" s="70"/>
      <c r="H1" s="70"/>
      <c r="I1" s="70"/>
      <c r="L1" s="70"/>
      <c r="M1" s="70"/>
    </row>
    <row r="2" spans="1:18" s="427" customFormat="1" ht="18.75" customHeight="1" x14ac:dyDescent="0.3">
      <c r="A2" s="426" t="s">
        <v>216</v>
      </c>
      <c r="B2" s="426" t="s">
        <v>80</v>
      </c>
      <c r="C2" s="436" t="s">
        <v>211</v>
      </c>
      <c r="D2" s="426"/>
      <c r="E2" s="426"/>
      <c r="H2" s="426"/>
      <c r="I2" s="426"/>
      <c r="L2" s="426"/>
      <c r="M2" s="426"/>
    </row>
    <row r="3" spans="1:18" s="21" customFormat="1" ht="11.25" customHeight="1" thickBot="1" x14ac:dyDescent="0.35">
      <c r="F3" s="22"/>
      <c r="G3" s="72"/>
      <c r="J3" s="22"/>
      <c r="K3" s="72"/>
      <c r="N3" s="22"/>
      <c r="O3" s="72"/>
    </row>
    <row r="4" spans="1:18" s="21" customFormat="1" ht="9" customHeight="1" x14ac:dyDescent="0.3">
      <c r="A4" s="23"/>
      <c r="B4" s="23"/>
      <c r="C4" s="23"/>
      <c r="D4" s="23"/>
      <c r="E4" s="26"/>
      <c r="F4" s="25"/>
      <c r="G4" s="73"/>
      <c r="H4" s="26"/>
      <c r="I4" s="26"/>
      <c r="J4" s="25"/>
      <c r="K4" s="73"/>
      <c r="L4" s="26"/>
      <c r="M4" s="26"/>
      <c r="N4" s="25"/>
      <c r="O4" s="73"/>
    </row>
    <row r="5" spans="1:18" s="21" customFormat="1" ht="18.75" customHeight="1" x14ac:dyDescent="0.3">
      <c r="A5" s="518" t="s">
        <v>258</v>
      </c>
      <c r="B5" s="518"/>
      <c r="C5" s="518"/>
      <c r="D5" s="518"/>
      <c r="E5" s="517">
        <v>2022</v>
      </c>
      <c r="F5" s="517"/>
      <c r="G5" s="517"/>
      <c r="H5" s="30"/>
      <c r="I5" s="517">
        <v>2023</v>
      </c>
      <c r="J5" s="517"/>
      <c r="K5" s="517"/>
      <c r="L5" s="30"/>
      <c r="M5" s="517">
        <v>2024</v>
      </c>
      <c r="N5" s="517"/>
      <c r="O5" s="517"/>
    </row>
    <row r="6" spans="1:18" s="21" customFormat="1" ht="9" customHeight="1" x14ac:dyDescent="0.3">
      <c r="A6" s="518"/>
      <c r="B6" s="518"/>
      <c r="C6" s="518"/>
      <c r="D6" s="518"/>
      <c r="E6" s="520"/>
      <c r="F6" s="520"/>
      <c r="G6" s="520"/>
      <c r="H6" s="74"/>
      <c r="I6" s="520"/>
      <c r="J6" s="520"/>
      <c r="K6" s="520"/>
      <c r="L6" s="74"/>
      <c r="M6" s="520"/>
      <c r="N6" s="520"/>
      <c r="O6" s="520"/>
    </row>
    <row r="7" spans="1:18" s="21" customFormat="1" ht="9" customHeight="1" x14ac:dyDescent="0.3">
      <c r="A7" s="518"/>
      <c r="B7" s="518"/>
      <c r="C7" s="518"/>
      <c r="D7" s="518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8" s="21" customFormat="1" ht="37.5" customHeight="1" x14ac:dyDescent="0.3">
      <c r="A8" s="518"/>
      <c r="B8" s="518"/>
      <c r="C8" s="518"/>
      <c r="D8" s="518"/>
      <c r="E8" s="76" t="s">
        <v>253</v>
      </c>
      <c r="F8" s="76" t="s">
        <v>254</v>
      </c>
      <c r="G8" s="76" t="s">
        <v>255</v>
      </c>
      <c r="H8" s="77"/>
      <c r="I8" s="76" t="s">
        <v>253</v>
      </c>
      <c r="J8" s="76" t="s">
        <v>254</v>
      </c>
      <c r="K8" s="76" t="s">
        <v>255</v>
      </c>
      <c r="L8" s="77"/>
      <c r="M8" s="76" t="s">
        <v>253</v>
      </c>
      <c r="N8" s="76" t="s">
        <v>254</v>
      </c>
      <c r="O8" s="76" t="s">
        <v>255</v>
      </c>
    </row>
    <row r="9" spans="1:18" s="21" customFormat="1" ht="9" customHeight="1" thickBot="1" x14ac:dyDescent="0.35">
      <c r="A9" s="31"/>
      <c r="B9" s="31"/>
      <c r="C9" s="31"/>
      <c r="D9" s="78"/>
      <c r="E9" s="78"/>
      <c r="F9" s="31"/>
      <c r="G9" s="79"/>
      <c r="H9" s="78"/>
      <c r="I9" s="78"/>
      <c r="J9" s="31"/>
      <c r="K9" s="79"/>
      <c r="L9" s="78"/>
      <c r="M9" s="78"/>
      <c r="N9" s="31"/>
      <c r="O9" s="79"/>
    </row>
    <row r="10" spans="1:18" ht="18.75" customHeight="1" x14ac:dyDescent="0.3">
      <c r="A10" s="34"/>
      <c r="B10" s="34"/>
      <c r="C10" s="34"/>
      <c r="D10" s="21"/>
      <c r="E10" s="21"/>
      <c r="F10" s="34"/>
      <c r="G10" s="72"/>
      <c r="H10" s="21"/>
      <c r="I10" s="21"/>
      <c r="J10" s="34"/>
      <c r="K10" s="72"/>
      <c r="L10" s="21"/>
      <c r="M10" s="21"/>
      <c r="N10" s="34"/>
      <c r="O10" s="72"/>
    </row>
    <row r="11" spans="1:18" s="39" customFormat="1" ht="18.75" customHeight="1" x14ac:dyDescent="0.3">
      <c r="A11" s="555" t="s">
        <v>259</v>
      </c>
      <c r="B11" s="555"/>
      <c r="C11" s="555"/>
      <c r="D11" s="80" t="s">
        <v>260</v>
      </c>
      <c r="E11" s="81">
        <v>592</v>
      </c>
      <c r="F11" s="81">
        <v>259</v>
      </c>
      <c r="G11" s="81">
        <v>333</v>
      </c>
      <c r="H11" s="454"/>
      <c r="I11" s="81">
        <v>562</v>
      </c>
      <c r="J11" s="81">
        <v>265</v>
      </c>
      <c r="K11" s="81">
        <v>297</v>
      </c>
      <c r="L11" s="454"/>
      <c r="M11" s="81">
        <v>614</v>
      </c>
      <c r="N11" s="81">
        <v>284</v>
      </c>
      <c r="O11" s="81">
        <v>338</v>
      </c>
    </row>
    <row r="12" spans="1:18" s="39" customFormat="1" ht="18.75" customHeight="1" x14ac:dyDescent="0.3">
      <c r="A12" s="555"/>
      <c r="B12" s="555"/>
      <c r="C12" s="555"/>
      <c r="D12" s="80" t="s">
        <v>66</v>
      </c>
      <c r="E12" s="82">
        <v>100</v>
      </c>
      <c r="F12" s="83">
        <v>43.75</v>
      </c>
      <c r="G12" s="83">
        <v>56.25</v>
      </c>
      <c r="H12" s="87"/>
      <c r="I12" s="82">
        <v>100</v>
      </c>
      <c r="J12" s="83">
        <v>47.153024911032027</v>
      </c>
      <c r="K12" s="83">
        <v>52.846975088967973</v>
      </c>
      <c r="L12" s="87"/>
      <c r="M12" s="82">
        <v>100</v>
      </c>
      <c r="N12" s="83">
        <v>46.254071661237781</v>
      </c>
      <c r="O12" s="83">
        <v>55.048859934853425</v>
      </c>
    </row>
    <row r="13" spans="1:18" s="39" customFormat="1" ht="18.75" customHeight="1" x14ac:dyDescent="0.3">
      <c r="A13" s="84"/>
      <c r="B13" s="84"/>
      <c r="C13" s="84"/>
      <c r="D13" s="85"/>
      <c r="E13" s="86"/>
      <c r="F13" s="86"/>
      <c r="G13" s="86"/>
      <c r="H13" s="87"/>
      <c r="I13" s="86"/>
      <c r="J13" s="86"/>
      <c r="K13" s="86"/>
      <c r="L13" s="87"/>
      <c r="M13" s="86"/>
      <c r="N13" s="86"/>
      <c r="O13" s="86"/>
    </row>
    <row r="14" spans="1:18" s="91" customFormat="1" ht="18.75" customHeight="1" x14ac:dyDescent="0.3">
      <c r="A14" s="554" t="s">
        <v>127</v>
      </c>
      <c r="B14" s="554"/>
      <c r="C14" s="554"/>
      <c r="D14" s="554"/>
      <c r="E14" s="88">
        <v>33</v>
      </c>
      <c r="F14" s="88">
        <v>14</v>
      </c>
      <c r="G14" s="88">
        <v>19</v>
      </c>
      <c r="H14" s="108"/>
      <c r="I14" s="553" t="s">
        <v>161</v>
      </c>
      <c r="J14" s="553" t="s">
        <v>161</v>
      </c>
      <c r="K14" s="553" t="s">
        <v>161</v>
      </c>
      <c r="L14" s="108"/>
      <c r="M14" s="89">
        <v>42</v>
      </c>
      <c r="N14" s="89">
        <v>24</v>
      </c>
      <c r="O14" s="89">
        <v>18</v>
      </c>
      <c r="P14" s="90"/>
      <c r="Q14" s="90"/>
      <c r="R14" s="90"/>
    </row>
    <row r="15" spans="1:18" s="94" customFormat="1" ht="18.75" customHeight="1" x14ac:dyDescent="0.3">
      <c r="A15" s="554"/>
      <c r="B15" s="554"/>
      <c r="C15" s="554"/>
      <c r="D15" s="554"/>
      <c r="E15" s="92">
        <v>100</v>
      </c>
      <c r="F15" s="92">
        <v>42.424242424242422</v>
      </c>
      <c r="G15" s="92">
        <v>57.575757575757578</v>
      </c>
      <c r="H15" s="92"/>
      <c r="I15" s="553"/>
      <c r="J15" s="553"/>
      <c r="K15" s="553"/>
      <c r="L15" s="92"/>
      <c r="M15" s="93">
        <v>100</v>
      </c>
      <c r="N15" s="93">
        <v>57.142857142857139</v>
      </c>
      <c r="O15" s="93">
        <v>42.857142857142854</v>
      </c>
      <c r="P15" s="90"/>
      <c r="Q15" s="90"/>
      <c r="R15" s="90"/>
    </row>
    <row r="16" spans="1:18" s="97" customFormat="1" ht="15" customHeight="1" x14ac:dyDescent="0.3">
      <c r="A16" s="95"/>
      <c r="B16" s="96"/>
      <c r="C16" s="96"/>
      <c r="D16" s="96"/>
      <c r="E16" s="455"/>
      <c r="F16" s="455"/>
      <c r="G16" s="455"/>
      <c r="H16" s="98"/>
      <c r="I16" s="455"/>
      <c r="J16" s="455"/>
      <c r="K16" s="455"/>
      <c r="L16" s="98"/>
      <c r="M16" s="455"/>
      <c r="N16" s="455"/>
      <c r="O16" s="455"/>
    </row>
    <row r="17" spans="1:16" s="39" customFormat="1" ht="18.75" customHeight="1" x14ac:dyDescent="0.3">
      <c r="A17" s="551" t="s">
        <v>128</v>
      </c>
      <c r="B17" s="551"/>
      <c r="C17" s="551"/>
      <c r="D17" s="551"/>
      <c r="E17" s="99">
        <v>34</v>
      </c>
      <c r="F17" s="99">
        <v>11</v>
      </c>
      <c r="G17" s="99">
        <v>23</v>
      </c>
      <c r="H17" s="86"/>
      <c r="I17" s="99">
        <v>43</v>
      </c>
      <c r="J17" s="99">
        <v>18</v>
      </c>
      <c r="K17" s="99">
        <v>25</v>
      </c>
      <c r="L17" s="86"/>
      <c r="M17" s="99">
        <v>46</v>
      </c>
      <c r="N17" s="99">
        <v>19</v>
      </c>
      <c r="O17" s="99">
        <v>27</v>
      </c>
    </row>
    <row r="18" spans="1:16" s="39" customFormat="1" ht="18.75" customHeight="1" x14ac:dyDescent="0.3">
      <c r="A18" s="551"/>
      <c r="B18" s="551"/>
      <c r="C18" s="551"/>
      <c r="D18" s="551"/>
      <c r="E18" s="100">
        <v>100</v>
      </c>
      <c r="F18" s="101">
        <v>32.352941176470587</v>
      </c>
      <c r="G18" s="101">
        <v>67.64705882352942</v>
      </c>
      <c r="H18" s="102"/>
      <c r="I18" s="100">
        <v>100</v>
      </c>
      <c r="J18" s="101">
        <v>41.860465116279073</v>
      </c>
      <c r="K18" s="101">
        <v>58.139534883720934</v>
      </c>
      <c r="L18" s="102"/>
      <c r="M18" s="100">
        <v>100</v>
      </c>
      <c r="N18" s="101">
        <v>41.304347826086953</v>
      </c>
      <c r="O18" s="101">
        <v>58.695652173913047</v>
      </c>
      <c r="P18" s="103"/>
    </row>
    <row r="19" spans="1:16" s="39" customFormat="1" ht="15" customHeight="1" x14ac:dyDescent="0.3">
      <c r="A19" s="104"/>
      <c r="B19" s="105"/>
      <c r="C19" s="105"/>
      <c r="D19" s="106"/>
      <c r="E19" s="81"/>
      <c r="F19" s="81"/>
      <c r="G19" s="81"/>
      <c r="H19" s="86"/>
      <c r="I19" s="81"/>
      <c r="J19" s="81"/>
      <c r="K19" s="81"/>
      <c r="L19" s="86"/>
      <c r="M19" s="81"/>
      <c r="N19" s="81"/>
      <c r="O19" s="81"/>
    </row>
    <row r="20" spans="1:16" s="91" customFormat="1" ht="18.75" customHeight="1" x14ac:dyDescent="0.3">
      <c r="A20" s="552" t="s">
        <v>129</v>
      </c>
      <c r="B20" s="552"/>
      <c r="C20" s="552"/>
      <c r="D20" s="552"/>
      <c r="E20" s="107">
        <v>34</v>
      </c>
      <c r="F20" s="107">
        <v>11</v>
      </c>
      <c r="G20" s="107">
        <v>23</v>
      </c>
      <c r="H20" s="108"/>
      <c r="I20" s="107">
        <v>41</v>
      </c>
      <c r="J20" s="107">
        <v>11</v>
      </c>
      <c r="K20" s="107">
        <v>30</v>
      </c>
      <c r="L20" s="108"/>
      <c r="M20" s="107">
        <v>43</v>
      </c>
      <c r="N20" s="107">
        <v>17</v>
      </c>
      <c r="O20" s="107">
        <v>26</v>
      </c>
    </row>
    <row r="21" spans="1:16" s="91" customFormat="1" ht="18.75" customHeight="1" x14ac:dyDescent="0.3">
      <c r="A21" s="552"/>
      <c r="B21" s="552"/>
      <c r="C21" s="552"/>
      <c r="D21" s="552"/>
      <c r="E21" s="92">
        <v>100</v>
      </c>
      <c r="F21" s="92">
        <v>32.352941176470587</v>
      </c>
      <c r="G21" s="92">
        <v>67.64705882352942</v>
      </c>
      <c r="H21" s="92"/>
      <c r="I21" s="92">
        <v>100</v>
      </c>
      <c r="J21" s="92">
        <v>26.829268292682929</v>
      </c>
      <c r="K21" s="92">
        <v>73.170731707317074</v>
      </c>
      <c r="L21" s="92"/>
      <c r="M21" s="92">
        <v>100</v>
      </c>
      <c r="N21" s="92">
        <v>39.534883720930232</v>
      </c>
      <c r="O21" s="92">
        <v>60.465116279069761</v>
      </c>
      <c r="P21" s="94"/>
    </row>
    <row r="22" spans="1:16" s="39" customFormat="1" ht="15" customHeight="1" x14ac:dyDescent="0.3">
      <c r="A22" s="95"/>
      <c r="B22" s="96"/>
      <c r="C22" s="96"/>
      <c r="D22" s="96"/>
      <c r="E22" s="86"/>
      <c r="F22" s="86"/>
      <c r="G22" s="86"/>
      <c r="H22" s="98"/>
      <c r="I22" s="86"/>
      <c r="J22" s="86"/>
      <c r="K22" s="86"/>
      <c r="L22" s="98"/>
      <c r="M22" s="86"/>
      <c r="N22" s="86"/>
      <c r="O22" s="86"/>
    </row>
    <row r="23" spans="1:16" s="39" customFormat="1" ht="18.75" customHeight="1" x14ac:dyDescent="0.3">
      <c r="A23" s="551" t="s">
        <v>130</v>
      </c>
      <c r="B23" s="551"/>
      <c r="C23" s="551"/>
      <c r="D23" s="551"/>
      <c r="E23" s="109">
        <v>42</v>
      </c>
      <c r="F23" s="109">
        <v>19</v>
      </c>
      <c r="G23" s="109">
        <v>23</v>
      </c>
      <c r="H23" s="86"/>
      <c r="I23" s="109">
        <v>45</v>
      </c>
      <c r="J23" s="109">
        <v>20</v>
      </c>
      <c r="K23" s="109">
        <v>25</v>
      </c>
      <c r="L23" s="86"/>
      <c r="M23" s="109">
        <v>43</v>
      </c>
      <c r="N23" s="109">
        <v>18</v>
      </c>
      <c r="O23" s="109">
        <v>25</v>
      </c>
    </row>
    <row r="24" spans="1:16" s="39" customFormat="1" ht="18.75" customHeight="1" x14ac:dyDescent="0.3">
      <c r="A24" s="551"/>
      <c r="B24" s="551"/>
      <c r="C24" s="551"/>
      <c r="D24" s="551"/>
      <c r="E24" s="100">
        <v>100</v>
      </c>
      <c r="F24" s="101">
        <v>45.238095238095241</v>
      </c>
      <c r="G24" s="101">
        <v>54.761904761904766</v>
      </c>
      <c r="H24" s="102"/>
      <c r="I24" s="100">
        <v>100</v>
      </c>
      <c r="J24" s="101">
        <v>44.444444444444443</v>
      </c>
      <c r="K24" s="101">
        <v>55.555555555555557</v>
      </c>
      <c r="L24" s="102"/>
      <c r="M24" s="100">
        <v>100</v>
      </c>
      <c r="N24" s="101">
        <v>41.860465116279073</v>
      </c>
      <c r="O24" s="101">
        <v>58.139534883720934</v>
      </c>
      <c r="P24" s="103"/>
    </row>
    <row r="25" spans="1:16" s="39" customFormat="1" ht="15" customHeight="1" x14ac:dyDescent="0.3">
      <c r="A25" s="104"/>
      <c r="B25" s="105"/>
      <c r="C25" s="105"/>
      <c r="D25" s="10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</row>
    <row r="26" spans="1:16" s="91" customFormat="1" ht="18.75" customHeight="1" x14ac:dyDescent="0.3">
      <c r="A26" s="552" t="s">
        <v>131</v>
      </c>
      <c r="B26" s="552"/>
      <c r="C26" s="552"/>
      <c r="D26" s="552"/>
      <c r="E26" s="107">
        <v>29</v>
      </c>
      <c r="F26" s="107">
        <v>14</v>
      </c>
      <c r="G26" s="107">
        <v>15</v>
      </c>
      <c r="H26" s="108"/>
      <c r="I26" s="107">
        <v>29</v>
      </c>
      <c r="J26" s="107">
        <v>10</v>
      </c>
      <c r="K26" s="107">
        <v>19</v>
      </c>
      <c r="L26" s="108"/>
      <c r="M26" s="107">
        <v>21</v>
      </c>
      <c r="N26" s="107">
        <v>9</v>
      </c>
      <c r="O26" s="107">
        <v>30</v>
      </c>
    </row>
    <row r="27" spans="1:16" s="91" customFormat="1" ht="18.75" customHeight="1" x14ac:dyDescent="0.3">
      <c r="A27" s="552"/>
      <c r="B27" s="552"/>
      <c r="C27" s="552"/>
      <c r="D27" s="552"/>
      <c r="E27" s="92">
        <v>100</v>
      </c>
      <c r="F27" s="92">
        <v>48.275862068965516</v>
      </c>
      <c r="G27" s="92">
        <v>51.724137931034484</v>
      </c>
      <c r="H27" s="92"/>
      <c r="I27" s="92">
        <v>100</v>
      </c>
      <c r="J27" s="92">
        <v>34.482758620689658</v>
      </c>
      <c r="K27" s="92">
        <v>65.517241379310349</v>
      </c>
      <c r="L27" s="92"/>
      <c r="M27" s="92">
        <v>100</v>
      </c>
      <c r="N27" s="92">
        <v>42.857142857142854</v>
      </c>
      <c r="O27" s="92">
        <v>142.85714285714286</v>
      </c>
      <c r="P27" s="94"/>
    </row>
    <row r="28" spans="1:16" s="39" customFormat="1" ht="15" customHeight="1" x14ac:dyDescent="0.3">
      <c r="A28" s="95"/>
      <c r="B28" s="96"/>
      <c r="C28" s="96"/>
      <c r="D28" s="96"/>
      <c r="E28" s="86"/>
      <c r="F28" s="86"/>
      <c r="G28" s="86"/>
      <c r="H28" s="98"/>
      <c r="I28" s="86"/>
      <c r="J28" s="86"/>
      <c r="K28" s="86"/>
      <c r="L28" s="98"/>
      <c r="M28" s="86"/>
      <c r="N28" s="86"/>
      <c r="O28" s="86"/>
    </row>
    <row r="29" spans="1:16" s="39" customFormat="1" ht="18.75" customHeight="1" x14ac:dyDescent="0.3">
      <c r="A29" s="551" t="s">
        <v>151</v>
      </c>
      <c r="B29" s="551"/>
      <c r="C29" s="551"/>
      <c r="D29" s="551"/>
      <c r="E29" s="109">
        <v>47</v>
      </c>
      <c r="F29" s="109">
        <v>23</v>
      </c>
      <c r="G29" s="109">
        <v>24</v>
      </c>
      <c r="H29" s="86"/>
      <c r="I29" s="109">
        <v>46</v>
      </c>
      <c r="J29" s="109">
        <v>24</v>
      </c>
      <c r="K29" s="109">
        <v>22</v>
      </c>
      <c r="L29" s="86"/>
      <c r="M29" s="109">
        <v>29</v>
      </c>
      <c r="N29" s="109">
        <v>12</v>
      </c>
      <c r="O29" s="109">
        <v>17</v>
      </c>
    </row>
    <row r="30" spans="1:16" s="39" customFormat="1" ht="18.75" customHeight="1" x14ac:dyDescent="0.3">
      <c r="A30" s="551"/>
      <c r="B30" s="551"/>
      <c r="C30" s="551"/>
      <c r="D30" s="551"/>
      <c r="E30" s="100">
        <v>100</v>
      </c>
      <c r="F30" s="101">
        <v>48.936170212765958</v>
      </c>
      <c r="G30" s="101">
        <v>51.063829787234042</v>
      </c>
      <c r="H30" s="102"/>
      <c r="I30" s="100">
        <v>100</v>
      </c>
      <c r="J30" s="101">
        <v>52.173913043478258</v>
      </c>
      <c r="K30" s="101">
        <v>47.826086956521742</v>
      </c>
      <c r="L30" s="102"/>
      <c r="M30" s="100">
        <v>100</v>
      </c>
      <c r="N30" s="101">
        <v>41.379310344827587</v>
      </c>
      <c r="O30" s="101">
        <v>58.620689655172406</v>
      </c>
      <c r="P30" s="103"/>
    </row>
    <row r="31" spans="1:16" s="39" customFormat="1" ht="15" customHeight="1" x14ac:dyDescent="0.3">
      <c r="A31" s="104"/>
      <c r="B31" s="105"/>
      <c r="C31" s="105"/>
      <c r="D31" s="10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</row>
    <row r="32" spans="1:16" s="91" customFormat="1" ht="18.75" customHeight="1" x14ac:dyDescent="0.3">
      <c r="A32" s="552" t="s">
        <v>132</v>
      </c>
      <c r="B32" s="552"/>
      <c r="C32" s="552"/>
      <c r="D32" s="552"/>
      <c r="E32" s="107">
        <v>31</v>
      </c>
      <c r="F32" s="107">
        <v>12</v>
      </c>
      <c r="G32" s="107">
        <v>19</v>
      </c>
      <c r="H32" s="108"/>
      <c r="I32" s="107">
        <v>25</v>
      </c>
      <c r="J32" s="107">
        <v>10</v>
      </c>
      <c r="K32" s="107">
        <v>15</v>
      </c>
      <c r="L32" s="108"/>
      <c r="M32" s="107">
        <v>41</v>
      </c>
      <c r="N32" s="107">
        <v>20</v>
      </c>
      <c r="O32" s="107">
        <v>21</v>
      </c>
    </row>
    <row r="33" spans="1:16" s="91" customFormat="1" ht="18.75" customHeight="1" x14ac:dyDescent="0.3">
      <c r="A33" s="552"/>
      <c r="B33" s="552"/>
      <c r="C33" s="552"/>
      <c r="D33" s="552"/>
      <c r="E33" s="92">
        <v>100</v>
      </c>
      <c r="F33" s="92">
        <v>38.70967741935484</v>
      </c>
      <c r="G33" s="92">
        <v>61.29032258064516</v>
      </c>
      <c r="H33" s="92"/>
      <c r="I33" s="92">
        <v>100</v>
      </c>
      <c r="J33" s="92">
        <v>40</v>
      </c>
      <c r="K33" s="92">
        <v>60</v>
      </c>
      <c r="L33" s="92"/>
      <c r="M33" s="92">
        <v>100</v>
      </c>
      <c r="N33" s="92">
        <v>48.780487804878049</v>
      </c>
      <c r="O33" s="92">
        <v>51.219512195121951</v>
      </c>
      <c r="P33" s="94"/>
    </row>
    <row r="34" spans="1:16" s="39" customFormat="1" ht="15" customHeight="1" x14ac:dyDescent="0.3">
      <c r="A34" s="95"/>
      <c r="B34" s="96"/>
      <c r="C34" s="96"/>
      <c r="D34" s="96"/>
      <c r="E34" s="86"/>
      <c r="F34" s="86"/>
      <c r="G34" s="86"/>
      <c r="H34" s="98"/>
      <c r="I34" s="86"/>
      <c r="J34" s="86"/>
      <c r="K34" s="86"/>
      <c r="L34" s="98"/>
      <c r="M34" s="86"/>
      <c r="N34" s="86"/>
      <c r="O34" s="86"/>
    </row>
    <row r="35" spans="1:16" s="39" customFormat="1" ht="18.75" customHeight="1" x14ac:dyDescent="0.3">
      <c r="A35" s="551" t="s">
        <v>133</v>
      </c>
      <c r="B35" s="551"/>
      <c r="C35" s="551"/>
      <c r="D35" s="551"/>
      <c r="E35" s="109">
        <v>36</v>
      </c>
      <c r="F35" s="109">
        <v>15</v>
      </c>
      <c r="G35" s="109">
        <v>21</v>
      </c>
      <c r="H35" s="86"/>
      <c r="I35" s="109">
        <v>31</v>
      </c>
      <c r="J35" s="109">
        <v>19</v>
      </c>
      <c r="K35" s="109">
        <v>12</v>
      </c>
      <c r="L35" s="86"/>
      <c r="M35" s="109">
        <v>43</v>
      </c>
      <c r="N35" s="109">
        <v>23</v>
      </c>
      <c r="O35" s="109">
        <v>20</v>
      </c>
    </row>
    <row r="36" spans="1:16" s="39" customFormat="1" ht="18.75" customHeight="1" x14ac:dyDescent="0.3">
      <c r="A36" s="551"/>
      <c r="B36" s="551"/>
      <c r="C36" s="551"/>
      <c r="D36" s="551"/>
      <c r="E36" s="100">
        <v>100</v>
      </c>
      <c r="F36" s="101">
        <v>41.666666666666671</v>
      </c>
      <c r="G36" s="101">
        <v>58.333333333333336</v>
      </c>
      <c r="H36" s="102"/>
      <c r="I36" s="100">
        <v>100</v>
      </c>
      <c r="J36" s="101">
        <v>61.29032258064516</v>
      </c>
      <c r="K36" s="101">
        <v>38.70967741935484</v>
      </c>
      <c r="L36" s="102"/>
      <c r="M36" s="100">
        <v>100</v>
      </c>
      <c r="N36" s="101">
        <v>53.488372093023251</v>
      </c>
      <c r="O36" s="101">
        <v>46.511627906976742</v>
      </c>
      <c r="P36" s="103"/>
    </row>
    <row r="37" spans="1:16" s="39" customFormat="1" ht="15" customHeight="1" x14ac:dyDescent="0.3">
      <c r="A37" s="104"/>
      <c r="B37" s="105"/>
      <c r="C37" s="105"/>
      <c r="D37" s="10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</row>
    <row r="38" spans="1:16" s="91" customFormat="1" ht="18.75" customHeight="1" x14ac:dyDescent="0.3">
      <c r="A38" s="552" t="s">
        <v>134</v>
      </c>
      <c r="B38" s="552"/>
      <c r="C38" s="552"/>
      <c r="D38" s="552"/>
      <c r="E38" s="107">
        <v>16</v>
      </c>
      <c r="F38" s="107">
        <v>7</v>
      </c>
      <c r="G38" s="107">
        <v>9</v>
      </c>
      <c r="H38" s="108"/>
      <c r="I38" s="107">
        <v>16</v>
      </c>
      <c r="J38" s="107">
        <v>7</v>
      </c>
      <c r="K38" s="107">
        <v>9</v>
      </c>
      <c r="L38" s="108"/>
      <c r="M38" s="107">
        <v>16</v>
      </c>
      <c r="N38" s="107">
        <v>6</v>
      </c>
      <c r="O38" s="107">
        <v>10</v>
      </c>
    </row>
    <row r="39" spans="1:16" s="91" customFormat="1" ht="18.75" customHeight="1" x14ac:dyDescent="0.3">
      <c r="A39" s="552"/>
      <c r="B39" s="552"/>
      <c r="C39" s="552"/>
      <c r="D39" s="552"/>
      <c r="E39" s="92">
        <v>100</v>
      </c>
      <c r="F39" s="92">
        <v>43.75</v>
      </c>
      <c r="G39" s="92">
        <v>56.25</v>
      </c>
      <c r="H39" s="92"/>
      <c r="I39" s="92">
        <v>100</v>
      </c>
      <c r="J39" s="92">
        <v>43.75</v>
      </c>
      <c r="K39" s="92">
        <v>56.25</v>
      </c>
      <c r="L39" s="92"/>
      <c r="M39" s="92">
        <v>100</v>
      </c>
      <c r="N39" s="92">
        <v>37.5</v>
      </c>
      <c r="O39" s="92">
        <v>62.5</v>
      </c>
      <c r="P39" s="94"/>
    </row>
    <row r="40" spans="1:16" s="39" customFormat="1" ht="15" customHeight="1" x14ac:dyDescent="0.3">
      <c r="A40" s="95"/>
      <c r="B40" s="96"/>
      <c r="C40" s="96"/>
      <c r="D40" s="96"/>
      <c r="E40" s="86"/>
      <c r="F40" s="86"/>
      <c r="G40" s="86"/>
      <c r="H40" s="98"/>
      <c r="I40" s="86"/>
      <c r="J40" s="86"/>
      <c r="K40" s="86"/>
      <c r="L40" s="98"/>
      <c r="M40" s="86"/>
      <c r="N40" s="86"/>
      <c r="O40" s="86"/>
    </row>
    <row r="41" spans="1:16" s="39" customFormat="1" ht="18.75" customHeight="1" x14ac:dyDescent="0.3">
      <c r="A41" s="551" t="s">
        <v>135</v>
      </c>
      <c r="B41" s="551"/>
      <c r="C41" s="551"/>
      <c r="D41" s="551"/>
      <c r="E41" s="109">
        <v>32</v>
      </c>
      <c r="F41" s="109">
        <v>17</v>
      </c>
      <c r="G41" s="109">
        <v>15</v>
      </c>
      <c r="H41" s="86"/>
      <c r="I41" s="109">
        <v>31</v>
      </c>
      <c r="J41" s="109">
        <v>18</v>
      </c>
      <c r="K41" s="109">
        <v>13</v>
      </c>
      <c r="L41" s="86"/>
      <c r="M41" s="109">
        <v>40</v>
      </c>
      <c r="N41" s="109">
        <v>18</v>
      </c>
      <c r="O41" s="109">
        <v>12</v>
      </c>
    </row>
    <row r="42" spans="1:16" s="39" customFormat="1" ht="18.75" customHeight="1" x14ac:dyDescent="0.3">
      <c r="A42" s="551"/>
      <c r="B42" s="551"/>
      <c r="C42" s="551"/>
      <c r="D42" s="551"/>
      <c r="E42" s="100">
        <v>100</v>
      </c>
      <c r="F42" s="101">
        <v>53.125</v>
      </c>
      <c r="G42" s="101">
        <v>46.875</v>
      </c>
      <c r="H42" s="102"/>
      <c r="I42" s="100">
        <v>100</v>
      </c>
      <c r="J42" s="101">
        <v>58.064516129032263</v>
      </c>
      <c r="K42" s="101">
        <v>41.935483870967744</v>
      </c>
      <c r="L42" s="102"/>
      <c r="M42" s="100">
        <v>100</v>
      </c>
      <c r="N42" s="101">
        <v>45</v>
      </c>
      <c r="O42" s="101">
        <v>30</v>
      </c>
      <c r="P42" s="103"/>
    </row>
    <row r="43" spans="1:16" s="39" customFormat="1" ht="15" customHeight="1" x14ac:dyDescent="0.3">
      <c r="A43" s="104"/>
      <c r="B43" s="105"/>
      <c r="C43" s="105"/>
      <c r="D43" s="10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</row>
    <row r="44" spans="1:16" s="91" customFormat="1" ht="18.75" customHeight="1" x14ac:dyDescent="0.3">
      <c r="A44" s="552" t="s">
        <v>136</v>
      </c>
      <c r="B44" s="552"/>
      <c r="C44" s="552"/>
      <c r="D44" s="552"/>
      <c r="E44" s="107">
        <v>27</v>
      </c>
      <c r="F44" s="107">
        <v>15</v>
      </c>
      <c r="G44" s="107">
        <v>12</v>
      </c>
      <c r="H44" s="108"/>
      <c r="I44" s="107">
        <v>25</v>
      </c>
      <c r="J44" s="107">
        <v>14</v>
      </c>
      <c r="K44" s="107">
        <v>11</v>
      </c>
      <c r="L44" s="108"/>
      <c r="M44" s="107">
        <v>31</v>
      </c>
      <c r="N44" s="107">
        <v>15</v>
      </c>
      <c r="O44" s="107">
        <v>16</v>
      </c>
    </row>
    <row r="45" spans="1:16" s="91" customFormat="1" ht="18.75" customHeight="1" x14ac:dyDescent="0.3">
      <c r="A45" s="552"/>
      <c r="B45" s="552"/>
      <c r="C45" s="552"/>
      <c r="D45" s="552"/>
      <c r="E45" s="92">
        <v>100</v>
      </c>
      <c r="F45" s="92">
        <v>55.555555555555557</v>
      </c>
      <c r="G45" s="92">
        <v>44.444444444444443</v>
      </c>
      <c r="H45" s="92"/>
      <c r="I45" s="92">
        <v>100</v>
      </c>
      <c r="J45" s="92">
        <v>56.000000000000007</v>
      </c>
      <c r="K45" s="92">
        <v>44</v>
      </c>
      <c r="L45" s="92"/>
      <c r="M45" s="92">
        <v>100</v>
      </c>
      <c r="N45" s="92">
        <v>48.387096774193552</v>
      </c>
      <c r="O45" s="92">
        <v>51.612903225806448</v>
      </c>
      <c r="P45" s="94"/>
    </row>
    <row r="46" spans="1:16" s="39" customFormat="1" ht="15" customHeight="1" x14ac:dyDescent="0.3">
      <c r="A46" s="95"/>
      <c r="B46" s="96"/>
      <c r="C46" s="96"/>
      <c r="D46" s="96"/>
      <c r="E46" s="86"/>
      <c r="F46" s="86"/>
      <c r="G46" s="86"/>
      <c r="H46" s="98"/>
      <c r="I46" s="86"/>
      <c r="J46" s="86"/>
      <c r="K46" s="86"/>
      <c r="L46" s="98"/>
      <c r="M46" s="86"/>
      <c r="N46" s="86"/>
      <c r="O46" s="86"/>
    </row>
    <row r="47" spans="1:16" s="39" customFormat="1" ht="18.75" customHeight="1" x14ac:dyDescent="0.3">
      <c r="A47" s="551" t="s">
        <v>137</v>
      </c>
      <c r="B47" s="551"/>
      <c r="C47" s="551"/>
      <c r="D47" s="551"/>
      <c r="E47" s="109">
        <v>25</v>
      </c>
      <c r="F47" s="109">
        <v>14</v>
      </c>
      <c r="G47" s="109">
        <v>11</v>
      </c>
      <c r="H47" s="86"/>
      <c r="I47" s="109">
        <v>25</v>
      </c>
      <c r="J47" s="109">
        <v>13</v>
      </c>
      <c r="K47" s="109">
        <v>12</v>
      </c>
      <c r="L47" s="86"/>
      <c r="M47" s="109">
        <v>26</v>
      </c>
      <c r="N47" s="109">
        <v>11</v>
      </c>
      <c r="O47" s="109">
        <v>15</v>
      </c>
    </row>
    <row r="48" spans="1:16" s="39" customFormat="1" ht="18.75" customHeight="1" x14ac:dyDescent="0.3">
      <c r="A48" s="551"/>
      <c r="B48" s="551"/>
      <c r="C48" s="551"/>
      <c r="D48" s="551"/>
      <c r="E48" s="100">
        <v>100</v>
      </c>
      <c r="F48" s="101">
        <v>56.000000000000007</v>
      </c>
      <c r="G48" s="101">
        <v>44</v>
      </c>
      <c r="H48" s="102"/>
      <c r="I48" s="100">
        <v>100</v>
      </c>
      <c r="J48" s="101">
        <v>52</v>
      </c>
      <c r="K48" s="101">
        <v>48</v>
      </c>
      <c r="L48" s="102"/>
      <c r="M48" s="100">
        <v>100</v>
      </c>
      <c r="N48" s="101">
        <v>42.307692307692307</v>
      </c>
      <c r="O48" s="101">
        <v>57.692307692307686</v>
      </c>
      <c r="P48" s="103"/>
    </row>
    <row r="49" spans="1:16" s="39" customFormat="1" ht="15" customHeight="1" x14ac:dyDescent="0.3">
      <c r="A49" s="104"/>
      <c r="B49" s="105"/>
      <c r="C49" s="105"/>
      <c r="D49" s="10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</row>
    <row r="50" spans="1:16" s="91" customFormat="1" ht="18.75" customHeight="1" x14ac:dyDescent="0.3">
      <c r="A50" s="552" t="s">
        <v>138</v>
      </c>
      <c r="B50" s="552"/>
      <c r="C50" s="552"/>
      <c r="D50" s="552"/>
      <c r="E50" s="107">
        <v>16</v>
      </c>
      <c r="F50" s="107">
        <v>7</v>
      </c>
      <c r="G50" s="107">
        <v>9</v>
      </c>
      <c r="H50" s="108"/>
      <c r="I50" s="107">
        <v>14</v>
      </c>
      <c r="J50" s="107">
        <v>6</v>
      </c>
      <c r="K50" s="107">
        <v>8</v>
      </c>
      <c r="L50" s="108"/>
      <c r="M50" s="107">
        <v>18</v>
      </c>
      <c r="N50" s="107">
        <v>7</v>
      </c>
      <c r="O50" s="107">
        <v>11</v>
      </c>
    </row>
    <row r="51" spans="1:16" s="91" customFormat="1" ht="18.75" customHeight="1" x14ac:dyDescent="0.3">
      <c r="A51" s="552"/>
      <c r="B51" s="552"/>
      <c r="C51" s="552"/>
      <c r="D51" s="552"/>
      <c r="E51" s="92">
        <v>100</v>
      </c>
      <c r="F51" s="92">
        <v>43.75</v>
      </c>
      <c r="G51" s="92">
        <v>56.25</v>
      </c>
      <c r="H51" s="92"/>
      <c r="I51" s="92">
        <v>100</v>
      </c>
      <c r="J51" s="92">
        <v>42.857142857142854</v>
      </c>
      <c r="K51" s="92">
        <v>57.142857142857139</v>
      </c>
      <c r="L51" s="92"/>
      <c r="M51" s="92">
        <v>100</v>
      </c>
      <c r="N51" s="92">
        <v>38.888888888888893</v>
      </c>
      <c r="O51" s="92">
        <v>61.111111111111114</v>
      </c>
      <c r="P51" s="94"/>
    </row>
    <row r="52" spans="1:16" s="39" customFormat="1" ht="15" customHeight="1" x14ac:dyDescent="0.3">
      <c r="A52" s="95"/>
      <c r="B52" s="96"/>
      <c r="C52" s="96"/>
      <c r="D52" s="96"/>
      <c r="E52" s="86"/>
      <c r="F52" s="86"/>
      <c r="G52" s="86"/>
      <c r="H52" s="98"/>
      <c r="I52" s="86"/>
      <c r="J52" s="86"/>
      <c r="K52" s="86"/>
      <c r="L52" s="98"/>
      <c r="M52" s="86"/>
      <c r="N52" s="86"/>
      <c r="O52" s="86"/>
    </row>
    <row r="53" spans="1:16" s="39" customFormat="1" ht="18.75" customHeight="1" x14ac:dyDescent="0.3">
      <c r="A53" s="551" t="s">
        <v>139</v>
      </c>
      <c r="B53" s="551"/>
      <c r="C53" s="551"/>
      <c r="D53" s="551"/>
      <c r="E53" s="109">
        <v>29</v>
      </c>
      <c r="F53" s="109">
        <v>12</v>
      </c>
      <c r="G53" s="109">
        <v>17</v>
      </c>
      <c r="H53" s="86"/>
      <c r="I53" s="109">
        <v>33</v>
      </c>
      <c r="J53" s="109">
        <v>17</v>
      </c>
      <c r="K53" s="109">
        <v>16</v>
      </c>
      <c r="L53" s="86"/>
      <c r="M53" s="109">
        <v>33</v>
      </c>
      <c r="N53" s="109">
        <v>15</v>
      </c>
      <c r="O53" s="109">
        <v>18</v>
      </c>
    </row>
    <row r="54" spans="1:16" s="39" customFormat="1" ht="18.75" customHeight="1" x14ac:dyDescent="0.3">
      <c r="A54" s="551"/>
      <c r="B54" s="551"/>
      <c r="C54" s="551"/>
      <c r="D54" s="551"/>
      <c r="E54" s="100">
        <v>100</v>
      </c>
      <c r="F54" s="101">
        <v>41.379310344827587</v>
      </c>
      <c r="G54" s="101">
        <v>58.620689655172406</v>
      </c>
      <c r="H54" s="102"/>
      <c r="I54" s="100">
        <v>100</v>
      </c>
      <c r="J54" s="101">
        <v>51.515151515151516</v>
      </c>
      <c r="K54" s="101">
        <v>48.484848484848484</v>
      </c>
      <c r="L54" s="102"/>
      <c r="M54" s="100">
        <v>100</v>
      </c>
      <c r="N54" s="101">
        <v>45.454545454545453</v>
      </c>
      <c r="O54" s="101">
        <v>54.54545454545454</v>
      </c>
      <c r="P54" s="103"/>
    </row>
    <row r="55" spans="1:16" s="39" customFormat="1" ht="15" customHeight="1" x14ac:dyDescent="0.3">
      <c r="A55" s="104"/>
      <c r="B55" s="105"/>
      <c r="C55" s="105"/>
      <c r="D55" s="10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</row>
    <row r="56" spans="1:16" s="91" customFormat="1" ht="18.75" customHeight="1" x14ac:dyDescent="0.3">
      <c r="A56" s="552" t="s">
        <v>140</v>
      </c>
      <c r="B56" s="552"/>
      <c r="C56" s="552"/>
      <c r="D56" s="552"/>
      <c r="E56" s="107">
        <v>32</v>
      </c>
      <c r="F56" s="107">
        <v>15</v>
      </c>
      <c r="G56" s="107">
        <v>17</v>
      </c>
      <c r="H56" s="108"/>
      <c r="I56" s="107">
        <v>31</v>
      </c>
      <c r="J56" s="107">
        <v>18</v>
      </c>
      <c r="K56" s="107">
        <v>13</v>
      </c>
      <c r="L56" s="108"/>
      <c r="M56" s="107">
        <v>25</v>
      </c>
      <c r="N56" s="107">
        <v>14</v>
      </c>
      <c r="O56" s="107">
        <v>11</v>
      </c>
    </row>
    <row r="57" spans="1:16" s="91" customFormat="1" ht="18.75" customHeight="1" x14ac:dyDescent="0.3">
      <c r="A57" s="552"/>
      <c r="B57" s="552"/>
      <c r="C57" s="552"/>
      <c r="D57" s="552"/>
      <c r="E57" s="92">
        <v>100</v>
      </c>
      <c r="F57" s="92">
        <v>46.875</v>
      </c>
      <c r="G57" s="92">
        <v>53.125</v>
      </c>
      <c r="H57" s="92"/>
      <c r="I57" s="92">
        <v>100</v>
      </c>
      <c r="J57" s="92">
        <v>58.064516129032263</v>
      </c>
      <c r="K57" s="92">
        <v>41.935483870967744</v>
      </c>
      <c r="L57" s="92"/>
      <c r="M57" s="92">
        <v>100</v>
      </c>
      <c r="N57" s="92">
        <v>56.000000000000007</v>
      </c>
      <c r="O57" s="92">
        <v>44</v>
      </c>
      <c r="P57" s="94"/>
    </row>
    <row r="58" spans="1:16" s="39" customFormat="1" ht="15" customHeight="1" x14ac:dyDescent="0.3">
      <c r="A58" s="95"/>
      <c r="B58" s="96"/>
      <c r="C58" s="96"/>
      <c r="D58" s="96"/>
      <c r="E58" s="86"/>
      <c r="F58" s="86"/>
      <c r="G58" s="86"/>
      <c r="H58" s="98"/>
      <c r="I58" s="86"/>
      <c r="J58" s="86"/>
      <c r="K58" s="86"/>
      <c r="L58" s="98"/>
      <c r="M58" s="86"/>
      <c r="N58" s="86"/>
      <c r="O58" s="86"/>
    </row>
    <row r="59" spans="1:16" s="39" customFormat="1" ht="18.75" customHeight="1" x14ac:dyDescent="0.3">
      <c r="A59" s="551" t="s">
        <v>152</v>
      </c>
      <c r="B59" s="551"/>
      <c r="C59" s="551"/>
      <c r="D59" s="551"/>
      <c r="E59" s="109">
        <v>32</v>
      </c>
      <c r="F59" s="109">
        <v>13</v>
      </c>
      <c r="G59" s="109">
        <v>19</v>
      </c>
      <c r="H59" s="86"/>
      <c r="I59" s="109">
        <v>35</v>
      </c>
      <c r="J59" s="109">
        <v>15</v>
      </c>
      <c r="K59" s="109">
        <v>20</v>
      </c>
      <c r="L59" s="86"/>
      <c r="M59" s="109">
        <v>26</v>
      </c>
      <c r="N59" s="109">
        <v>14</v>
      </c>
      <c r="O59" s="109">
        <v>12</v>
      </c>
    </row>
    <row r="60" spans="1:16" s="39" customFormat="1" ht="18.75" customHeight="1" x14ac:dyDescent="0.3">
      <c r="A60" s="551"/>
      <c r="B60" s="551"/>
      <c r="C60" s="551"/>
      <c r="D60" s="551"/>
      <c r="E60" s="100">
        <v>100</v>
      </c>
      <c r="F60" s="101">
        <v>40.625</v>
      </c>
      <c r="G60" s="101">
        <v>59.375</v>
      </c>
      <c r="H60" s="102"/>
      <c r="I60" s="100">
        <v>100</v>
      </c>
      <c r="J60" s="101">
        <v>42.857142857142854</v>
      </c>
      <c r="K60" s="101">
        <v>57.142857142857139</v>
      </c>
      <c r="L60" s="102"/>
      <c r="M60" s="100">
        <v>100</v>
      </c>
      <c r="N60" s="101">
        <v>53.846153846153847</v>
      </c>
      <c r="O60" s="101">
        <v>46.153846153846153</v>
      </c>
      <c r="P60" s="103"/>
    </row>
    <row r="61" spans="1:16" s="39" customFormat="1" ht="15" customHeight="1" x14ac:dyDescent="0.3">
      <c r="A61" s="104"/>
      <c r="B61" s="105"/>
      <c r="C61" s="105"/>
      <c r="D61" s="10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</row>
    <row r="62" spans="1:16" s="91" customFormat="1" ht="18.75" customHeight="1" x14ac:dyDescent="0.3">
      <c r="A62" s="552" t="s">
        <v>141</v>
      </c>
      <c r="B62" s="552"/>
      <c r="C62" s="552"/>
      <c r="D62" s="552"/>
      <c r="E62" s="107">
        <v>34</v>
      </c>
      <c r="F62" s="107">
        <v>15</v>
      </c>
      <c r="G62" s="107">
        <v>19</v>
      </c>
      <c r="H62" s="108"/>
      <c r="I62" s="107">
        <v>31</v>
      </c>
      <c r="J62" s="107">
        <v>17</v>
      </c>
      <c r="K62" s="107">
        <v>14</v>
      </c>
      <c r="L62" s="108"/>
      <c r="M62" s="107">
        <v>23</v>
      </c>
      <c r="N62" s="107">
        <v>8</v>
      </c>
      <c r="O62" s="107">
        <v>15</v>
      </c>
    </row>
    <row r="63" spans="1:16" s="91" customFormat="1" ht="18.75" customHeight="1" x14ac:dyDescent="0.3">
      <c r="A63" s="552"/>
      <c r="B63" s="552"/>
      <c r="C63" s="552"/>
      <c r="D63" s="552"/>
      <c r="E63" s="92">
        <v>100</v>
      </c>
      <c r="F63" s="92">
        <v>44.117647058823529</v>
      </c>
      <c r="G63" s="92">
        <v>55.882352941176471</v>
      </c>
      <c r="H63" s="92"/>
      <c r="I63" s="92">
        <v>100</v>
      </c>
      <c r="J63" s="92">
        <v>54.838709677419352</v>
      </c>
      <c r="K63" s="92">
        <v>45.161290322580641</v>
      </c>
      <c r="L63" s="92"/>
      <c r="M63" s="92">
        <v>100</v>
      </c>
      <c r="N63" s="92">
        <v>34.782608695652172</v>
      </c>
      <c r="O63" s="92">
        <v>65.217391304347828</v>
      </c>
      <c r="P63" s="94"/>
    </row>
    <row r="64" spans="1:16" s="39" customFormat="1" ht="15" customHeight="1" x14ac:dyDescent="0.3">
      <c r="A64" s="95"/>
      <c r="B64" s="96"/>
      <c r="C64" s="96"/>
      <c r="D64" s="96"/>
      <c r="E64" s="86"/>
      <c r="F64" s="86"/>
      <c r="G64" s="86"/>
      <c r="H64" s="98"/>
      <c r="I64" s="86"/>
      <c r="J64" s="86"/>
      <c r="K64" s="86"/>
      <c r="L64" s="98"/>
      <c r="M64" s="86"/>
      <c r="N64" s="86"/>
      <c r="O64" s="86"/>
    </row>
    <row r="65" spans="1:16" s="39" customFormat="1" ht="18.75" customHeight="1" x14ac:dyDescent="0.3">
      <c r="A65" s="551" t="s">
        <v>142</v>
      </c>
      <c r="B65" s="551"/>
      <c r="C65" s="551"/>
      <c r="D65" s="551"/>
      <c r="E65" s="109">
        <v>21</v>
      </c>
      <c r="F65" s="109">
        <v>7</v>
      </c>
      <c r="G65" s="109">
        <v>14</v>
      </c>
      <c r="H65" s="86"/>
      <c r="I65" s="109">
        <v>19</v>
      </c>
      <c r="J65" s="109">
        <v>6</v>
      </c>
      <c r="K65" s="109">
        <v>13</v>
      </c>
      <c r="L65" s="86"/>
      <c r="M65" s="109">
        <v>19</v>
      </c>
      <c r="N65" s="109">
        <v>8</v>
      </c>
      <c r="O65" s="109">
        <v>11</v>
      </c>
    </row>
    <row r="66" spans="1:16" s="39" customFormat="1" ht="18.75" customHeight="1" x14ac:dyDescent="0.3">
      <c r="A66" s="551"/>
      <c r="B66" s="551"/>
      <c r="C66" s="551"/>
      <c r="D66" s="551"/>
      <c r="E66" s="100">
        <v>100</v>
      </c>
      <c r="F66" s="101">
        <v>33.333333333333329</v>
      </c>
      <c r="G66" s="101">
        <v>66.666666666666657</v>
      </c>
      <c r="H66" s="102"/>
      <c r="I66" s="100">
        <v>100</v>
      </c>
      <c r="J66" s="101">
        <v>31.578947368421051</v>
      </c>
      <c r="K66" s="101">
        <v>68.421052631578945</v>
      </c>
      <c r="L66" s="102"/>
      <c r="M66" s="100">
        <v>100</v>
      </c>
      <c r="N66" s="101">
        <v>42.105263157894733</v>
      </c>
      <c r="O66" s="101">
        <v>57.894736842105267</v>
      </c>
      <c r="P66" s="103"/>
    </row>
    <row r="67" spans="1:16" s="39" customFormat="1" ht="15" customHeight="1" x14ac:dyDescent="0.3">
      <c r="A67" s="104"/>
      <c r="B67" s="105"/>
      <c r="C67" s="105"/>
      <c r="D67" s="10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</row>
    <row r="68" spans="1:16" s="91" customFormat="1" ht="18.75" customHeight="1" x14ac:dyDescent="0.3">
      <c r="A68" s="552" t="s">
        <v>143</v>
      </c>
      <c r="B68" s="552"/>
      <c r="C68" s="552"/>
      <c r="D68" s="552"/>
      <c r="E68" s="107">
        <v>24</v>
      </c>
      <c r="F68" s="107">
        <v>7</v>
      </c>
      <c r="G68" s="107">
        <v>17</v>
      </c>
      <c r="H68" s="108"/>
      <c r="I68" s="107">
        <v>24</v>
      </c>
      <c r="J68" s="107">
        <v>10</v>
      </c>
      <c r="K68" s="107">
        <v>14</v>
      </c>
      <c r="L68" s="108"/>
      <c r="M68" s="107">
        <v>30</v>
      </c>
      <c r="N68" s="107">
        <v>16</v>
      </c>
      <c r="O68" s="107">
        <v>14</v>
      </c>
    </row>
    <row r="69" spans="1:16" s="91" customFormat="1" ht="18.75" customHeight="1" x14ac:dyDescent="0.3">
      <c r="A69" s="552"/>
      <c r="B69" s="552"/>
      <c r="C69" s="552"/>
      <c r="D69" s="552"/>
      <c r="E69" s="92">
        <v>100</v>
      </c>
      <c r="F69" s="92">
        <v>29.166666666666668</v>
      </c>
      <c r="G69" s="92">
        <v>70.833333333333343</v>
      </c>
      <c r="H69" s="92"/>
      <c r="I69" s="92">
        <v>100</v>
      </c>
      <c r="J69" s="92">
        <v>41.666666666666671</v>
      </c>
      <c r="K69" s="92">
        <v>58.333333333333336</v>
      </c>
      <c r="L69" s="92"/>
      <c r="M69" s="92">
        <v>100</v>
      </c>
      <c r="N69" s="92">
        <v>53.333333333333336</v>
      </c>
      <c r="O69" s="92">
        <v>46.666666666666664</v>
      </c>
      <c r="P69" s="94"/>
    </row>
    <row r="70" spans="1:16" s="39" customFormat="1" ht="15" customHeight="1" x14ac:dyDescent="0.3">
      <c r="A70" s="95"/>
      <c r="B70" s="96"/>
      <c r="C70" s="96"/>
      <c r="D70" s="96"/>
      <c r="E70" s="81"/>
      <c r="F70" s="81"/>
      <c r="G70" s="81"/>
      <c r="H70" s="98"/>
      <c r="I70" s="81"/>
      <c r="J70" s="81"/>
      <c r="K70" s="81"/>
      <c r="L70" s="98"/>
      <c r="M70" s="81"/>
      <c r="N70" s="81"/>
      <c r="O70" s="81"/>
    </row>
    <row r="71" spans="1:16" s="39" customFormat="1" ht="18.75" customHeight="1" x14ac:dyDescent="0.3">
      <c r="A71" s="551" t="s">
        <v>144</v>
      </c>
      <c r="B71" s="551"/>
      <c r="C71" s="551"/>
      <c r="D71" s="551"/>
      <c r="E71" s="99">
        <v>18</v>
      </c>
      <c r="F71" s="99">
        <v>11</v>
      </c>
      <c r="G71" s="99">
        <v>7</v>
      </c>
      <c r="H71" s="86"/>
      <c r="I71" s="99">
        <v>18</v>
      </c>
      <c r="J71" s="99">
        <v>12</v>
      </c>
      <c r="K71" s="99">
        <v>6</v>
      </c>
      <c r="L71" s="86"/>
      <c r="M71" s="99">
        <v>19</v>
      </c>
      <c r="N71" s="99">
        <v>10</v>
      </c>
      <c r="O71" s="99">
        <v>9</v>
      </c>
    </row>
    <row r="72" spans="1:16" s="39" customFormat="1" ht="18.75" customHeight="1" x14ac:dyDescent="0.3">
      <c r="A72" s="551"/>
      <c r="B72" s="551"/>
      <c r="C72" s="551"/>
      <c r="D72" s="551"/>
      <c r="E72" s="100">
        <v>100</v>
      </c>
      <c r="F72" s="101">
        <v>61.111111111111114</v>
      </c>
      <c r="G72" s="101">
        <v>38.888888888888893</v>
      </c>
      <c r="H72" s="102"/>
      <c r="I72" s="100">
        <v>100</v>
      </c>
      <c r="J72" s="101">
        <v>66.666666666666657</v>
      </c>
      <c r="K72" s="101">
        <v>33.333333333333329</v>
      </c>
      <c r="L72" s="102"/>
      <c r="M72" s="100">
        <v>100</v>
      </c>
      <c r="N72" s="101">
        <v>52.631578947368418</v>
      </c>
      <c r="O72" s="101">
        <v>47.368421052631575</v>
      </c>
      <c r="P72" s="103"/>
    </row>
    <row r="73" spans="1:16" ht="18.75" customHeight="1" thickBot="1" x14ac:dyDescent="0.35">
      <c r="A73" s="111"/>
      <c r="B73" s="112"/>
      <c r="C73" s="112"/>
      <c r="D73" s="113"/>
      <c r="E73" s="114"/>
      <c r="F73" s="114"/>
      <c r="G73" s="114"/>
      <c r="H73" s="115"/>
      <c r="I73" s="114"/>
      <c r="J73" s="114"/>
      <c r="K73" s="114"/>
      <c r="L73" s="115"/>
      <c r="M73" s="114"/>
      <c r="N73" s="114"/>
      <c r="O73" s="114"/>
    </row>
    <row r="74" spans="1:16" ht="18.75" customHeight="1" x14ac:dyDescent="0.3">
      <c r="G74" s="116"/>
      <c r="K74" s="116"/>
      <c r="O74" s="116" t="s">
        <v>157</v>
      </c>
    </row>
    <row r="75" spans="1:16" ht="18.75" customHeight="1" x14ac:dyDescent="0.3">
      <c r="A75" s="61"/>
      <c r="G75" s="6"/>
      <c r="K75" s="6"/>
      <c r="O75" s="428" t="s">
        <v>158</v>
      </c>
    </row>
    <row r="76" spans="1:16" x14ac:dyDescent="0.3">
      <c r="A76" s="505"/>
      <c r="B76" s="505"/>
      <c r="C76" s="505"/>
      <c r="E76" s="117"/>
      <c r="I76" s="117"/>
      <c r="K76" s="116"/>
      <c r="M76" s="117"/>
      <c r="O76" s="116"/>
    </row>
    <row r="77" spans="1:16" x14ac:dyDescent="0.3">
      <c r="K77" s="6"/>
      <c r="O77" s="6"/>
    </row>
  </sheetData>
  <mergeCells count="32">
    <mergeCell ref="A71:D72"/>
    <mergeCell ref="A65:D66"/>
    <mergeCell ref="A68:D69"/>
    <mergeCell ref="I6:K6"/>
    <mergeCell ref="M6:O6"/>
    <mergeCell ref="A11:C12"/>
    <mergeCell ref="A76:C76"/>
    <mergeCell ref="A5:D8"/>
    <mergeCell ref="A14:D15"/>
    <mergeCell ref="A17:D18"/>
    <mergeCell ref="A20:D21"/>
    <mergeCell ref="A23:D24"/>
    <mergeCell ref="A26:D27"/>
    <mergeCell ref="A29:D30"/>
    <mergeCell ref="A32:D33"/>
    <mergeCell ref="A35:D36"/>
    <mergeCell ref="A38:D39"/>
    <mergeCell ref="A41:D42"/>
    <mergeCell ref="A44:D45"/>
    <mergeCell ref="A56:D57"/>
    <mergeCell ref="A59:D60"/>
    <mergeCell ref="A62:D63"/>
    <mergeCell ref="M5:O5"/>
    <mergeCell ref="E5:G5"/>
    <mergeCell ref="A47:D48"/>
    <mergeCell ref="A50:D51"/>
    <mergeCell ref="A53:D54"/>
    <mergeCell ref="I5:K5"/>
    <mergeCell ref="I14:I15"/>
    <mergeCell ref="J14:J15"/>
    <mergeCell ref="K14:K15"/>
    <mergeCell ref="E6:G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tabColor rgb="FFEE6EE8"/>
  </sheetPr>
  <dimension ref="A1:P28"/>
  <sheetViews>
    <sheetView tabSelected="1" view="pageBreakPreview" topLeftCell="A13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8.140625" style="18" customWidth="1"/>
    <col min="4" max="4" width="6.42578125" style="18" customWidth="1"/>
    <col min="5" max="7" width="15.7109375" style="18" customWidth="1"/>
    <col min="8" max="8" width="1.7109375" style="18" customWidth="1"/>
    <col min="9" max="9" width="15.7109375" style="18" customWidth="1"/>
    <col min="10" max="10" width="15.7109375" style="20" customWidth="1"/>
    <col min="11" max="11" width="15.7109375" style="110" customWidth="1"/>
    <col min="12" max="12" width="1.7109375" style="18" customWidth="1"/>
    <col min="13" max="13" width="15.7109375" style="18" customWidth="1"/>
    <col min="14" max="14" width="15.7109375" style="20" customWidth="1"/>
    <col min="15" max="15" width="15.7109375" style="110" customWidth="1"/>
    <col min="16" max="16384" width="12.42578125" style="18"/>
  </cols>
  <sheetData>
    <row r="1" spans="1:16" s="71" customFormat="1" ht="18.75" customHeight="1" x14ac:dyDescent="0.3">
      <c r="A1" s="70" t="s">
        <v>85</v>
      </c>
      <c r="B1" s="70" t="s">
        <v>80</v>
      </c>
      <c r="C1" s="70" t="s">
        <v>179</v>
      </c>
      <c r="D1" s="70"/>
      <c r="E1" s="70"/>
      <c r="F1" s="70"/>
      <c r="G1" s="70"/>
      <c r="H1" s="70"/>
      <c r="I1" s="70"/>
      <c r="L1" s="70"/>
      <c r="M1" s="70"/>
    </row>
    <row r="2" spans="1:16" s="427" customFormat="1" ht="18.75" customHeight="1" x14ac:dyDescent="0.3">
      <c r="A2" s="426" t="s">
        <v>86</v>
      </c>
      <c r="B2" s="426" t="s">
        <v>80</v>
      </c>
      <c r="C2" s="426" t="s">
        <v>180</v>
      </c>
      <c r="D2" s="426"/>
      <c r="E2" s="426"/>
      <c r="F2" s="426"/>
      <c r="G2" s="426"/>
      <c r="H2" s="426"/>
      <c r="I2" s="426"/>
      <c r="L2" s="426"/>
      <c r="M2" s="426"/>
    </row>
    <row r="3" spans="1:16" s="21" customFormat="1" ht="11.25" customHeight="1" thickBot="1" x14ac:dyDescent="0.35">
      <c r="J3" s="22"/>
      <c r="K3" s="72"/>
      <c r="N3" s="22"/>
      <c r="O3" s="72"/>
    </row>
    <row r="4" spans="1:16" s="364" customFormat="1" ht="9" customHeight="1" x14ac:dyDescent="0.3">
      <c r="A4" s="23"/>
      <c r="B4" s="23"/>
      <c r="C4" s="23"/>
      <c r="D4" s="23"/>
      <c r="E4" s="26"/>
      <c r="F4" s="26"/>
      <c r="G4" s="26"/>
      <c r="H4" s="26"/>
      <c r="I4" s="26"/>
      <c r="J4" s="25"/>
      <c r="K4" s="73"/>
      <c r="L4" s="26"/>
      <c r="M4" s="26"/>
      <c r="N4" s="25"/>
      <c r="O4" s="73"/>
    </row>
    <row r="5" spans="1:16" s="364" customFormat="1" ht="18.75" customHeight="1" x14ac:dyDescent="0.3">
      <c r="A5" s="518" t="s">
        <v>252</v>
      </c>
      <c r="B5" s="518"/>
      <c r="C5" s="518"/>
      <c r="D5" s="518"/>
      <c r="E5" s="517" t="s">
        <v>230</v>
      </c>
      <c r="F5" s="517"/>
      <c r="G5" s="517"/>
      <c r="H5" s="30"/>
      <c r="I5" s="517">
        <v>2023</v>
      </c>
      <c r="J5" s="517"/>
      <c r="K5" s="517"/>
      <c r="L5" s="30"/>
      <c r="M5" s="517">
        <v>2024</v>
      </c>
      <c r="N5" s="517"/>
      <c r="O5" s="517"/>
    </row>
    <row r="6" spans="1:16" s="364" customFormat="1" ht="9" customHeight="1" x14ac:dyDescent="0.3">
      <c r="A6" s="518"/>
      <c r="B6" s="518"/>
      <c r="C6" s="518"/>
      <c r="D6" s="518"/>
      <c r="E6" s="520"/>
      <c r="F6" s="520"/>
      <c r="G6" s="520"/>
      <c r="H6" s="74"/>
      <c r="I6" s="520"/>
      <c r="J6" s="520"/>
      <c r="K6" s="520"/>
      <c r="L6" s="74"/>
      <c r="M6" s="520"/>
      <c r="N6" s="520"/>
      <c r="O6" s="520"/>
    </row>
    <row r="7" spans="1:16" s="364" customFormat="1" ht="9" customHeight="1" x14ac:dyDescent="0.3">
      <c r="A7" s="518"/>
      <c r="B7" s="518"/>
      <c r="C7" s="518"/>
      <c r="D7" s="518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6" s="364" customFormat="1" ht="37.5" customHeight="1" x14ac:dyDescent="0.3">
      <c r="A8" s="518"/>
      <c r="B8" s="518"/>
      <c r="C8" s="518"/>
      <c r="D8" s="518"/>
      <c r="E8" s="76" t="s">
        <v>253</v>
      </c>
      <c r="F8" s="76" t="s">
        <v>254</v>
      </c>
      <c r="G8" s="76" t="s">
        <v>255</v>
      </c>
      <c r="H8" s="77"/>
      <c r="I8" s="76" t="s">
        <v>253</v>
      </c>
      <c r="J8" s="76" t="s">
        <v>254</v>
      </c>
      <c r="K8" s="76" t="s">
        <v>255</v>
      </c>
      <c r="L8" s="77"/>
      <c r="M8" s="76" t="s">
        <v>253</v>
      </c>
      <c r="N8" s="76" t="s">
        <v>254</v>
      </c>
      <c r="O8" s="76" t="s">
        <v>255</v>
      </c>
    </row>
    <row r="9" spans="1:16" s="364" customFormat="1" ht="9" customHeight="1" thickBot="1" x14ac:dyDescent="0.35">
      <c r="A9" s="31"/>
      <c r="B9" s="31"/>
      <c r="C9" s="31"/>
      <c r="D9" s="78"/>
      <c r="E9" s="78"/>
      <c r="F9" s="78"/>
      <c r="G9" s="78"/>
      <c r="H9" s="78"/>
      <c r="I9" s="78"/>
      <c r="J9" s="31"/>
      <c r="K9" s="79"/>
      <c r="L9" s="78"/>
      <c r="M9" s="78"/>
      <c r="N9" s="31"/>
      <c r="O9" s="79"/>
    </row>
    <row r="10" spans="1:16" ht="18.75" customHeight="1" x14ac:dyDescent="0.3">
      <c r="A10" s="34"/>
      <c r="B10" s="34"/>
      <c r="C10" s="34"/>
      <c r="D10" s="21"/>
      <c r="E10" s="21"/>
      <c r="F10" s="21"/>
      <c r="G10" s="21"/>
      <c r="H10" s="21"/>
      <c r="I10" s="21"/>
      <c r="J10" s="34"/>
      <c r="K10" s="72"/>
      <c r="L10" s="21"/>
      <c r="M10" s="21"/>
      <c r="N10" s="34"/>
      <c r="O10" s="72"/>
    </row>
    <row r="11" spans="1:16" s="39" customFormat="1" ht="30" customHeight="1" x14ac:dyDescent="0.3">
      <c r="A11" s="39" t="s">
        <v>65</v>
      </c>
      <c r="C11" s="80" t="s">
        <v>67</v>
      </c>
      <c r="E11" s="82">
        <v>15155.2</v>
      </c>
      <c r="F11" s="87">
        <v>5753.1</v>
      </c>
      <c r="G11" s="87">
        <v>9402.1</v>
      </c>
      <c r="H11" s="87"/>
      <c r="I11" s="82">
        <v>15813.4</v>
      </c>
      <c r="J11" s="87">
        <v>5963.8</v>
      </c>
      <c r="K11" s="87">
        <v>9849.5</v>
      </c>
      <c r="L11" s="87"/>
      <c r="M11" s="82">
        <v>16369.4</v>
      </c>
      <c r="N11" s="87">
        <v>6112.3</v>
      </c>
      <c r="O11" s="87">
        <v>10257.1</v>
      </c>
    </row>
    <row r="12" spans="1:16" s="372" customFormat="1" ht="30" customHeight="1" x14ac:dyDescent="0.25">
      <c r="A12" s="423" t="s">
        <v>256</v>
      </c>
      <c r="B12" s="1"/>
      <c r="C12" s="371" t="s">
        <v>66</v>
      </c>
      <c r="E12" s="373">
        <v>100</v>
      </c>
      <c r="F12" s="374">
        <v>100</v>
      </c>
      <c r="G12" s="374">
        <v>100</v>
      </c>
      <c r="H12" s="374"/>
      <c r="I12" s="373">
        <v>100</v>
      </c>
      <c r="J12" s="374">
        <v>100</v>
      </c>
      <c r="K12" s="374">
        <v>100</v>
      </c>
      <c r="L12" s="375"/>
      <c r="M12" s="373">
        <v>100</v>
      </c>
      <c r="N12" s="374">
        <v>100</v>
      </c>
      <c r="O12" s="374">
        <v>100</v>
      </c>
    </row>
    <row r="13" spans="1:16" s="39" customFormat="1" ht="18.75" customHeight="1" x14ac:dyDescent="0.3">
      <c r="A13" s="84"/>
      <c r="B13" s="84"/>
      <c r="C13" s="84"/>
      <c r="D13" s="85"/>
      <c r="E13" s="86"/>
      <c r="F13" s="86"/>
      <c r="G13" s="86"/>
      <c r="H13" s="87"/>
      <c r="I13" s="86"/>
      <c r="J13" s="86"/>
      <c r="K13" s="86"/>
      <c r="L13" s="87"/>
      <c r="M13" s="86"/>
      <c r="N13" s="86"/>
      <c r="O13" s="86"/>
    </row>
    <row r="14" spans="1:16" s="91" customFormat="1" ht="30" customHeight="1" x14ac:dyDescent="0.3">
      <c r="A14" s="184" t="s">
        <v>23</v>
      </c>
      <c r="B14" s="376"/>
      <c r="C14" s="376"/>
      <c r="D14" s="377"/>
      <c r="E14" s="108">
        <v>332.6</v>
      </c>
      <c r="F14" s="108">
        <v>91.2</v>
      </c>
      <c r="G14" s="108">
        <v>241.3</v>
      </c>
      <c r="H14" s="378"/>
      <c r="I14" s="108">
        <v>378.2</v>
      </c>
      <c r="J14" s="108">
        <v>124.7</v>
      </c>
      <c r="K14" s="108">
        <v>253.4</v>
      </c>
      <c r="L14" s="378"/>
      <c r="M14" s="108">
        <v>356.4</v>
      </c>
      <c r="N14" s="108">
        <v>121</v>
      </c>
      <c r="O14" s="108">
        <v>235.5</v>
      </c>
    </row>
    <row r="15" spans="1:16" s="94" customFormat="1" ht="30" customHeight="1" x14ac:dyDescent="0.3">
      <c r="A15" s="519" t="s">
        <v>24</v>
      </c>
      <c r="B15" s="519"/>
      <c r="C15" s="519"/>
      <c r="D15" s="519"/>
      <c r="E15" s="92">
        <v>2.2000000000000002</v>
      </c>
      <c r="F15" s="92">
        <v>1.6</v>
      </c>
      <c r="G15" s="92">
        <v>2.6</v>
      </c>
      <c r="H15" s="379"/>
      <c r="I15" s="92">
        <v>2.4</v>
      </c>
      <c r="J15" s="92">
        <v>2.1</v>
      </c>
      <c r="K15" s="92">
        <v>2.6</v>
      </c>
      <c r="L15" s="379"/>
      <c r="M15" s="92">
        <v>2.2000000000000002</v>
      </c>
      <c r="N15" s="92">
        <v>2</v>
      </c>
      <c r="O15" s="92">
        <v>2.2999999999999998</v>
      </c>
      <c r="P15" s="380"/>
    </row>
    <row r="16" spans="1:16" s="39" customFormat="1" ht="18.75" customHeight="1" x14ac:dyDescent="0.3">
      <c r="A16" s="190"/>
      <c r="B16" s="190"/>
      <c r="C16" s="190"/>
      <c r="D16" s="106"/>
      <c r="E16" s="86"/>
      <c r="F16" s="86"/>
      <c r="G16" s="86"/>
      <c r="H16" s="87"/>
      <c r="I16" s="86"/>
      <c r="J16" s="86"/>
      <c r="K16" s="86"/>
      <c r="L16" s="87"/>
      <c r="M16" s="86"/>
      <c r="N16" s="86"/>
      <c r="O16" s="86"/>
    </row>
    <row r="17" spans="1:15" s="39" customFormat="1" ht="30" customHeight="1" x14ac:dyDescent="0.3">
      <c r="A17" s="187" t="s">
        <v>25</v>
      </c>
      <c r="B17" s="187"/>
      <c r="C17" s="187"/>
      <c r="D17" s="106"/>
      <c r="E17" s="86">
        <v>1215</v>
      </c>
      <c r="F17" s="86">
        <v>327.5</v>
      </c>
      <c r="G17" s="86">
        <v>887.5</v>
      </c>
      <c r="H17" s="87"/>
      <c r="I17" s="86">
        <v>1268.0999999999999</v>
      </c>
      <c r="J17" s="86">
        <v>357</v>
      </c>
      <c r="K17" s="86">
        <v>911.1</v>
      </c>
      <c r="L17" s="87"/>
      <c r="M17" s="86">
        <v>1344.6</v>
      </c>
      <c r="N17" s="86">
        <v>337.8</v>
      </c>
      <c r="O17" s="86">
        <v>1006.8</v>
      </c>
    </row>
    <row r="18" spans="1:15" s="1" customFormat="1" ht="30" customHeight="1" x14ac:dyDescent="0.25">
      <c r="A18" s="434" t="s">
        <v>26</v>
      </c>
      <c r="B18" s="10"/>
      <c r="C18" s="10"/>
      <c r="D18" s="381"/>
      <c r="E18" s="102">
        <v>8</v>
      </c>
      <c r="F18" s="102">
        <v>5.7</v>
      </c>
      <c r="G18" s="102">
        <v>9.4</v>
      </c>
      <c r="H18" s="382"/>
      <c r="I18" s="102">
        <v>8</v>
      </c>
      <c r="J18" s="102">
        <v>6</v>
      </c>
      <c r="K18" s="102">
        <v>9.3000000000000007</v>
      </c>
      <c r="L18" s="383"/>
      <c r="M18" s="102">
        <v>8.1999999999999993</v>
      </c>
      <c r="N18" s="102">
        <v>5.5</v>
      </c>
      <c r="O18" s="102">
        <v>9.8000000000000007</v>
      </c>
    </row>
    <row r="19" spans="1:15" s="39" customFormat="1" ht="18.75" customHeight="1" x14ac:dyDescent="0.3">
      <c r="A19" s="224"/>
      <c r="B19" s="224"/>
      <c r="C19" s="224"/>
      <c r="D19" s="106"/>
      <c r="E19" s="86"/>
      <c r="F19" s="86"/>
      <c r="G19" s="86"/>
      <c r="H19" s="87"/>
      <c r="I19" s="86"/>
      <c r="J19" s="86"/>
      <c r="K19" s="86"/>
      <c r="L19" s="87"/>
      <c r="M19" s="86"/>
      <c r="N19" s="86"/>
      <c r="O19" s="86"/>
    </row>
    <row r="20" spans="1:15" s="91" customFormat="1" ht="30" customHeight="1" x14ac:dyDescent="0.3">
      <c r="A20" s="184" t="s">
        <v>27</v>
      </c>
      <c r="B20" s="184"/>
      <c r="C20" s="184"/>
      <c r="D20" s="384"/>
      <c r="E20" s="108">
        <v>8239.6</v>
      </c>
      <c r="F20" s="108">
        <v>2873</v>
      </c>
      <c r="G20" s="108">
        <v>5366.6</v>
      </c>
      <c r="H20" s="378"/>
      <c r="I20" s="108">
        <v>8558</v>
      </c>
      <c r="J20" s="108">
        <v>2879.5</v>
      </c>
      <c r="K20" s="108">
        <v>5678.5</v>
      </c>
      <c r="L20" s="378"/>
      <c r="M20" s="108">
        <v>8950.6</v>
      </c>
      <c r="N20" s="108">
        <v>2932</v>
      </c>
      <c r="O20" s="108">
        <v>6018.6</v>
      </c>
    </row>
    <row r="21" spans="1:15" s="91" customFormat="1" ht="30" customHeight="1" x14ac:dyDescent="0.3">
      <c r="A21" s="433" t="s">
        <v>28</v>
      </c>
      <c r="B21" s="9"/>
      <c r="C21" s="9"/>
      <c r="D21" s="384"/>
      <c r="E21" s="92">
        <v>54.4</v>
      </c>
      <c r="F21" s="92">
        <v>49.9</v>
      </c>
      <c r="G21" s="92">
        <v>57.1</v>
      </c>
      <c r="H21" s="385"/>
      <c r="I21" s="92">
        <v>54.1</v>
      </c>
      <c r="J21" s="92">
        <v>48.3</v>
      </c>
      <c r="K21" s="92">
        <v>57.7</v>
      </c>
      <c r="L21" s="378"/>
      <c r="M21" s="92">
        <v>54.7</v>
      </c>
      <c r="N21" s="92">
        <v>48</v>
      </c>
      <c r="O21" s="92">
        <v>58.7</v>
      </c>
    </row>
    <row r="22" spans="1:15" s="39" customFormat="1" ht="18.75" customHeight="1" x14ac:dyDescent="0.3">
      <c r="A22" s="190"/>
      <c r="B22" s="190"/>
      <c r="C22" s="190"/>
      <c r="D22" s="106"/>
      <c r="E22" s="87"/>
      <c r="F22" s="86"/>
      <c r="G22" s="86"/>
      <c r="H22" s="87"/>
      <c r="I22" s="87"/>
      <c r="J22" s="86"/>
      <c r="K22" s="86"/>
      <c r="L22" s="87"/>
      <c r="M22" s="87"/>
      <c r="N22" s="86"/>
      <c r="O22" s="86"/>
    </row>
    <row r="23" spans="1:15" s="39" customFormat="1" ht="30" customHeight="1" x14ac:dyDescent="0.3">
      <c r="A23" s="187" t="s">
        <v>29</v>
      </c>
      <c r="B23" s="187"/>
      <c r="C23" s="187"/>
      <c r="D23" s="106"/>
      <c r="E23" s="86">
        <v>5368.1</v>
      </c>
      <c r="F23" s="86">
        <v>2461.4</v>
      </c>
      <c r="G23" s="86">
        <v>2906.7</v>
      </c>
      <c r="H23" s="87"/>
      <c r="I23" s="86">
        <v>5609.1</v>
      </c>
      <c r="J23" s="86">
        <v>2602.6</v>
      </c>
      <c r="K23" s="86">
        <v>3006.5</v>
      </c>
      <c r="L23" s="87"/>
      <c r="M23" s="86">
        <v>5717.7</v>
      </c>
      <c r="N23" s="86">
        <v>2721.5</v>
      </c>
      <c r="O23" s="86">
        <v>2996.2</v>
      </c>
    </row>
    <row r="24" spans="1:15" s="97" customFormat="1" ht="30" customHeight="1" x14ac:dyDescent="0.3">
      <c r="A24" s="434" t="s">
        <v>30</v>
      </c>
      <c r="B24" s="8"/>
      <c r="C24" s="8"/>
      <c r="D24" s="386"/>
      <c r="E24" s="102">
        <v>35.4</v>
      </c>
      <c r="F24" s="102">
        <v>42.8</v>
      </c>
      <c r="G24" s="102">
        <v>30.9</v>
      </c>
      <c r="H24" s="382"/>
      <c r="I24" s="102">
        <v>35.5</v>
      </c>
      <c r="J24" s="102">
        <v>43.6</v>
      </c>
      <c r="K24" s="102">
        <v>30.5</v>
      </c>
      <c r="L24" s="98"/>
      <c r="M24" s="102">
        <v>34.9</v>
      </c>
      <c r="N24" s="102">
        <v>44.5</v>
      </c>
      <c r="O24" s="102">
        <v>29.2</v>
      </c>
    </row>
    <row r="25" spans="1:15" ht="18.75" customHeight="1" thickBot="1" x14ac:dyDescent="0.35">
      <c r="A25" s="370"/>
      <c r="B25" s="370"/>
      <c r="C25" s="370"/>
      <c r="D25" s="50"/>
      <c r="E25" s="52"/>
      <c r="F25" s="50"/>
      <c r="G25" s="52"/>
      <c r="H25" s="52"/>
      <c r="I25" s="52"/>
      <c r="J25" s="51"/>
      <c r="K25" s="177"/>
      <c r="L25" s="52"/>
      <c r="M25" s="52"/>
      <c r="N25" s="51"/>
      <c r="O25" s="177"/>
    </row>
    <row r="26" spans="1:15" ht="18.75" customHeight="1" x14ac:dyDescent="0.3">
      <c r="K26" s="116"/>
      <c r="O26" s="116" t="s">
        <v>17</v>
      </c>
    </row>
    <row r="27" spans="1:15" ht="18.75" customHeight="1" x14ac:dyDescent="0.3">
      <c r="A27" s="63" t="s">
        <v>278</v>
      </c>
      <c r="K27" s="6"/>
      <c r="O27" s="428" t="s">
        <v>18</v>
      </c>
    </row>
    <row r="28" spans="1:15" ht="18.75" customHeight="1" x14ac:dyDescent="0.3">
      <c r="A28" s="257" t="s">
        <v>246</v>
      </c>
      <c r="B28" s="53"/>
      <c r="C28" s="53"/>
    </row>
  </sheetData>
  <mergeCells count="8">
    <mergeCell ref="M5:O5"/>
    <mergeCell ref="A15:D15"/>
    <mergeCell ref="A5:D8"/>
    <mergeCell ref="E5:G5"/>
    <mergeCell ref="I5:K5"/>
    <mergeCell ref="E6:G6"/>
    <mergeCell ref="I6:K6"/>
    <mergeCell ref="M6:O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tabColor rgb="FFEE6EE8"/>
  </sheetPr>
  <dimension ref="A1:I29"/>
  <sheetViews>
    <sheetView tabSelected="1" view="pageBreakPreview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8" customWidth="1"/>
    <col min="2" max="2" width="1.7109375" style="18" customWidth="1"/>
    <col min="3" max="3" width="45.28515625" style="18" customWidth="1"/>
    <col min="4" max="4" width="28.5703125" style="18" customWidth="1"/>
    <col min="5" max="5" width="14.28515625" style="18" customWidth="1"/>
    <col min="6" max="6" width="28.5703125" style="110" customWidth="1"/>
    <col min="7" max="7" width="14.28515625" style="18" customWidth="1"/>
    <col min="8" max="8" width="28.5703125" style="110" customWidth="1"/>
    <col min="9" max="10" width="12.42578125" style="18"/>
    <col min="11" max="11" width="1.42578125" style="18" customWidth="1"/>
    <col min="12" max="13" width="12.42578125" style="18"/>
    <col min="14" max="14" width="0.85546875" style="18" customWidth="1"/>
    <col min="15" max="16384" width="12.42578125" style="18"/>
  </cols>
  <sheetData>
    <row r="1" spans="1:9" s="362" customFormat="1" ht="18.75" customHeight="1" x14ac:dyDescent="0.3">
      <c r="A1" s="19" t="s">
        <v>87</v>
      </c>
      <c r="B1" s="19" t="s">
        <v>80</v>
      </c>
      <c r="C1" s="19" t="s">
        <v>181</v>
      </c>
      <c r="F1" s="363"/>
      <c r="H1" s="363"/>
    </row>
    <row r="2" spans="1:9" s="425" customFormat="1" ht="18.75" customHeight="1" x14ac:dyDescent="0.25">
      <c r="A2" s="423" t="s">
        <v>88</v>
      </c>
      <c r="B2" s="423" t="s">
        <v>80</v>
      </c>
      <c r="C2" s="423" t="s">
        <v>182</v>
      </c>
      <c r="F2" s="432"/>
      <c r="H2" s="432"/>
    </row>
    <row r="3" spans="1:9" s="21" customFormat="1" ht="11.25" customHeight="1" thickBot="1" x14ac:dyDescent="0.35">
      <c r="F3" s="72"/>
      <c r="H3" s="72"/>
    </row>
    <row r="4" spans="1:9" s="364" customFormat="1" ht="9" customHeight="1" x14ac:dyDescent="0.3">
      <c r="A4" s="23"/>
      <c r="B4" s="23"/>
      <c r="C4" s="23"/>
      <c r="D4" s="26"/>
      <c r="E4" s="26"/>
      <c r="F4" s="73"/>
      <c r="G4" s="26"/>
      <c r="H4" s="73"/>
    </row>
    <row r="5" spans="1:9" s="364" customFormat="1" ht="37.5" customHeight="1" x14ac:dyDescent="0.3">
      <c r="A5" s="518" t="s">
        <v>251</v>
      </c>
      <c r="B5" s="518"/>
      <c r="C5" s="518"/>
      <c r="D5" s="30">
        <v>2022</v>
      </c>
      <c r="E5" s="30"/>
      <c r="F5" s="30">
        <v>2023</v>
      </c>
      <c r="G5" s="30"/>
      <c r="H5" s="30">
        <v>2024</v>
      </c>
    </row>
    <row r="6" spans="1:9" s="364" customFormat="1" ht="9" customHeight="1" thickBot="1" x14ac:dyDescent="0.35">
      <c r="A6" s="31"/>
      <c r="B6" s="31"/>
      <c r="C6" s="78"/>
      <c r="D6" s="365"/>
      <c r="E6" s="33"/>
      <c r="F6" s="365"/>
      <c r="G6" s="33"/>
      <c r="H6" s="365"/>
    </row>
    <row r="7" spans="1:9" ht="18.75" customHeight="1" x14ac:dyDescent="0.3">
      <c r="A7" s="34"/>
      <c r="B7" s="34"/>
      <c r="C7" s="21"/>
      <c r="D7" s="72"/>
      <c r="E7" s="21"/>
      <c r="F7" s="72"/>
      <c r="G7" s="21"/>
      <c r="H7" s="72"/>
    </row>
    <row r="8" spans="1:9" s="39" customFormat="1" ht="30" customHeight="1" x14ac:dyDescent="0.3">
      <c r="A8" s="190" t="s">
        <v>31</v>
      </c>
      <c r="B8" s="190"/>
      <c r="C8" s="106"/>
      <c r="D8" s="523">
        <v>1.002</v>
      </c>
      <c r="E8" s="366"/>
      <c r="F8" s="523">
        <v>1.0069999999999999</v>
      </c>
      <c r="G8" s="366"/>
      <c r="H8" s="522">
        <v>1.01</v>
      </c>
    </row>
    <row r="9" spans="1:9" s="97" customFormat="1" ht="30" customHeight="1" x14ac:dyDescent="0.3">
      <c r="A9" s="504" t="s">
        <v>32</v>
      </c>
      <c r="B9" s="504"/>
      <c r="C9" s="504"/>
      <c r="D9" s="523"/>
      <c r="E9" s="366"/>
      <c r="F9" s="523"/>
      <c r="G9" s="366"/>
      <c r="H9" s="522"/>
    </row>
    <row r="10" spans="1:9" s="39" customFormat="1" ht="18.75" customHeight="1" x14ac:dyDescent="0.3">
      <c r="A10" s="190"/>
      <c r="B10" s="190"/>
      <c r="C10" s="106"/>
      <c r="D10" s="367"/>
      <c r="E10" s="366"/>
      <c r="F10" s="367"/>
      <c r="G10" s="366"/>
      <c r="H10" s="367"/>
      <c r="I10" s="41"/>
    </row>
    <row r="11" spans="1:9" s="91" customFormat="1" ht="30" customHeight="1" x14ac:dyDescent="0.3">
      <c r="A11" s="509" t="s">
        <v>33</v>
      </c>
      <c r="B11" s="509"/>
      <c r="C11" s="509"/>
      <c r="D11" s="521">
        <v>1.03</v>
      </c>
      <c r="E11" s="503"/>
      <c r="F11" s="521">
        <v>1.028</v>
      </c>
      <c r="G11" s="503"/>
      <c r="H11" s="521">
        <v>1.0169999999999999</v>
      </c>
      <c r="I11" s="368"/>
    </row>
    <row r="12" spans="1:9" s="94" customFormat="1" ht="30" customHeight="1" x14ac:dyDescent="0.3">
      <c r="A12" s="433" t="s">
        <v>34</v>
      </c>
      <c r="B12" s="9"/>
      <c r="C12" s="369"/>
      <c r="D12" s="521"/>
      <c r="E12" s="503"/>
      <c r="F12" s="521"/>
      <c r="G12" s="503"/>
      <c r="H12" s="521"/>
    </row>
    <row r="13" spans="1:9" s="39" customFormat="1" ht="18.75" customHeight="1" x14ac:dyDescent="0.3">
      <c r="A13" s="224"/>
      <c r="B13" s="224"/>
      <c r="C13" s="106"/>
      <c r="D13" s="367"/>
      <c r="E13" s="366"/>
      <c r="F13" s="367"/>
      <c r="G13" s="366"/>
      <c r="H13" s="367"/>
    </row>
    <row r="14" spans="1:9" s="39" customFormat="1" ht="30" customHeight="1" x14ac:dyDescent="0.3">
      <c r="A14" s="190" t="s">
        <v>35</v>
      </c>
      <c r="B14" s="190"/>
      <c r="C14" s="106"/>
      <c r="D14" s="523">
        <v>1.4890000000000001</v>
      </c>
      <c r="E14" s="366"/>
      <c r="F14" s="523">
        <v>1.502</v>
      </c>
      <c r="G14" s="366"/>
      <c r="H14" s="522">
        <v>1.52488368471641</v>
      </c>
    </row>
    <row r="15" spans="1:9" s="39" customFormat="1" ht="30" customHeight="1" x14ac:dyDescent="0.3">
      <c r="A15" s="434" t="s">
        <v>36</v>
      </c>
      <c r="B15" s="8"/>
      <c r="C15" s="106"/>
      <c r="D15" s="523"/>
      <c r="E15" s="366"/>
      <c r="F15" s="523"/>
      <c r="G15" s="366"/>
      <c r="H15" s="522"/>
    </row>
    <row r="16" spans="1:9" ht="18.75" customHeight="1" thickBot="1" x14ac:dyDescent="0.35">
      <c r="A16" s="370"/>
      <c r="B16" s="370"/>
      <c r="C16" s="50"/>
      <c r="D16" s="50"/>
      <c r="E16" s="50"/>
      <c r="F16" s="177"/>
      <c r="G16" s="50"/>
      <c r="H16" s="177"/>
    </row>
    <row r="17" spans="1:8" ht="18.75" customHeight="1" x14ac:dyDescent="0.3">
      <c r="F17" s="55"/>
      <c r="H17" s="55" t="s">
        <v>21</v>
      </c>
    </row>
    <row r="18" spans="1:8" ht="18.75" customHeight="1" x14ac:dyDescent="0.3">
      <c r="A18" s="61"/>
      <c r="F18" s="2"/>
      <c r="H18" s="421" t="s">
        <v>22</v>
      </c>
    </row>
    <row r="19" spans="1:8" ht="18.75" customHeight="1" x14ac:dyDescent="0.3">
      <c r="A19" s="505"/>
      <c r="B19" s="505"/>
      <c r="C19" s="505"/>
    </row>
    <row r="29" spans="1:8" x14ac:dyDescent="0.3">
      <c r="A29" s="39"/>
    </row>
  </sheetData>
  <mergeCells count="13">
    <mergeCell ref="A19:C19"/>
    <mergeCell ref="A5:C5"/>
    <mergeCell ref="F11:F12"/>
    <mergeCell ref="H11:H12"/>
    <mergeCell ref="A11:C11"/>
    <mergeCell ref="A9:C9"/>
    <mergeCell ref="D11:D12"/>
    <mergeCell ref="H14:H15"/>
    <mergeCell ref="F14:F15"/>
    <mergeCell ref="D14:D15"/>
    <mergeCell ref="H8:H9"/>
    <mergeCell ref="F8:F9"/>
    <mergeCell ref="D8:D9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0930-B4BE-49ED-A340-701EC64C4EAC}">
  <sheetPr transitionEvaluation="1">
    <tabColor rgb="FFEE6EE8"/>
  </sheetPr>
  <dimension ref="A1:Z34"/>
  <sheetViews>
    <sheetView tabSelected="1" view="pageBreakPreview" topLeftCell="A19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7" style="16" customWidth="1"/>
    <col min="19" max="19" width="12.42578125" style="16"/>
    <col min="20" max="20" width="6.7109375" style="16" customWidth="1"/>
    <col min="21" max="16384" width="12.42578125" style="16"/>
  </cols>
  <sheetData>
    <row r="1" spans="1:26" s="71" customFormat="1" ht="18.75" customHeight="1" x14ac:dyDescent="0.3">
      <c r="A1" s="118" t="s">
        <v>89</v>
      </c>
      <c r="B1" s="118" t="s">
        <v>80</v>
      </c>
      <c r="C1" s="524" t="s">
        <v>221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26" s="427" customFormat="1" ht="18.75" customHeight="1" x14ac:dyDescent="0.3">
      <c r="A2" s="426" t="s">
        <v>90</v>
      </c>
      <c r="B2" s="426" t="s">
        <v>80</v>
      </c>
      <c r="C2" s="426" t="s">
        <v>222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26" s="57" customFormat="1" ht="11.25" customHeight="1" thickBot="1" x14ac:dyDescent="0.35">
      <c r="I3" s="119"/>
      <c r="J3" s="120"/>
      <c r="M3" s="119"/>
      <c r="N3" s="120"/>
    </row>
    <row r="4" spans="1:26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26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26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328"/>
      <c r="M6" s="328"/>
      <c r="N6" s="328"/>
    </row>
    <row r="7" spans="1:26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528"/>
      <c r="M7" s="528"/>
      <c r="N7" s="528"/>
    </row>
    <row r="8" spans="1:26" s="253" customFormat="1" ht="37.5" customHeight="1" x14ac:dyDescent="0.3">
      <c r="A8" s="526"/>
      <c r="B8" s="129"/>
      <c r="C8" s="126"/>
      <c r="D8" s="77" t="s">
        <v>268</v>
      </c>
      <c r="E8" s="77" t="s">
        <v>269</v>
      </c>
      <c r="F8" s="77" t="s">
        <v>270</v>
      </c>
      <c r="G8" s="77"/>
      <c r="H8" s="77" t="s">
        <v>268</v>
      </c>
      <c r="I8" s="77" t="s">
        <v>269</v>
      </c>
      <c r="J8" s="77" t="s">
        <v>270</v>
      </c>
      <c r="K8" s="77"/>
      <c r="L8" s="77" t="s">
        <v>268</v>
      </c>
      <c r="M8" s="77" t="s">
        <v>269</v>
      </c>
      <c r="N8" s="77" t="s">
        <v>270</v>
      </c>
    </row>
    <row r="9" spans="1:26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26" ht="18.75" customHeight="1" x14ac:dyDescent="0.3">
      <c r="A10" s="133"/>
      <c r="B10" s="133"/>
      <c r="C10" s="57"/>
      <c r="D10" s="57"/>
      <c r="E10" s="133"/>
      <c r="F10" s="120"/>
      <c r="G10" s="57"/>
      <c r="H10" s="57"/>
      <c r="K10" s="57"/>
      <c r="L10" s="57"/>
    </row>
    <row r="11" spans="1:26" ht="30" customHeight="1" x14ac:dyDescent="0.3">
      <c r="A11" s="134" t="s">
        <v>0</v>
      </c>
      <c r="B11" s="134"/>
      <c r="C11" s="135"/>
      <c r="D11" s="329">
        <v>895952</v>
      </c>
      <c r="E11" s="329">
        <v>443461</v>
      </c>
      <c r="F11" s="329">
        <v>452491</v>
      </c>
      <c r="G11" s="329"/>
      <c r="H11" s="329">
        <v>945824</v>
      </c>
      <c r="I11" s="329">
        <v>465626</v>
      </c>
      <c r="J11" s="329">
        <v>480198</v>
      </c>
      <c r="K11" s="329"/>
      <c r="L11" s="329">
        <v>933435</v>
      </c>
      <c r="M11" s="329">
        <v>458775</v>
      </c>
      <c r="N11" s="329">
        <v>474660</v>
      </c>
      <c r="R11" s="298"/>
      <c r="S11" s="298"/>
      <c r="T11" s="298"/>
      <c r="X11" s="298"/>
      <c r="Y11" s="298"/>
      <c r="Z11" s="298"/>
    </row>
    <row r="12" spans="1:26" ht="18.75" customHeight="1" x14ac:dyDescent="0.3">
      <c r="A12" s="320"/>
      <c r="B12" s="320"/>
      <c r="C12" s="135"/>
      <c r="D12" s="330"/>
      <c r="E12" s="330"/>
      <c r="F12" s="330"/>
      <c r="G12" s="331"/>
      <c r="H12" s="330"/>
      <c r="I12" s="330"/>
      <c r="J12" s="330"/>
      <c r="K12" s="331"/>
      <c r="L12" s="330"/>
      <c r="M12" s="330"/>
      <c r="N12" s="330"/>
    </row>
    <row r="13" spans="1:26" s="146" customFormat="1" ht="30" customHeight="1" x14ac:dyDescent="0.3">
      <c r="A13" s="141" t="s">
        <v>1</v>
      </c>
      <c r="B13" s="142"/>
      <c r="C13" s="143"/>
      <c r="D13" s="332">
        <v>109389</v>
      </c>
      <c r="E13" s="332">
        <v>53723</v>
      </c>
      <c r="F13" s="332">
        <v>55666</v>
      </c>
      <c r="G13" s="332"/>
      <c r="H13" s="332">
        <v>117914</v>
      </c>
      <c r="I13" s="332">
        <v>57666</v>
      </c>
      <c r="J13" s="332">
        <v>60248</v>
      </c>
      <c r="K13" s="332"/>
      <c r="L13" s="332">
        <v>120230</v>
      </c>
      <c r="M13" s="332">
        <v>58992</v>
      </c>
      <c r="N13" s="332">
        <v>61238</v>
      </c>
      <c r="R13" s="303"/>
      <c r="S13" s="303"/>
      <c r="T13" s="303"/>
      <c r="X13" s="303"/>
      <c r="Y13" s="303"/>
      <c r="Z13" s="303"/>
    </row>
    <row r="14" spans="1:26" ht="30" customHeight="1" x14ac:dyDescent="0.3">
      <c r="A14" s="148" t="s">
        <v>2</v>
      </c>
      <c r="B14" s="149"/>
      <c r="C14" s="135"/>
      <c r="D14" s="330">
        <v>65750</v>
      </c>
      <c r="E14" s="330">
        <v>32672</v>
      </c>
      <c r="F14" s="330">
        <v>33078</v>
      </c>
      <c r="G14" s="330"/>
      <c r="H14" s="330">
        <v>68768</v>
      </c>
      <c r="I14" s="330">
        <v>33932</v>
      </c>
      <c r="J14" s="330">
        <v>34836</v>
      </c>
      <c r="K14" s="330"/>
      <c r="L14" s="330">
        <v>67340</v>
      </c>
      <c r="M14" s="330">
        <v>33016</v>
      </c>
      <c r="N14" s="330">
        <v>34324</v>
      </c>
      <c r="R14" s="298"/>
      <c r="S14" s="298"/>
      <c r="T14" s="298"/>
      <c r="X14" s="298"/>
      <c r="Y14" s="298"/>
      <c r="Z14" s="298"/>
    </row>
    <row r="15" spans="1:26" s="146" customFormat="1" ht="30" customHeight="1" x14ac:dyDescent="0.3">
      <c r="A15" s="141" t="s">
        <v>3</v>
      </c>
      <c r="B15" s="150"/>
      <c r="C15" s="143"/>
      <c r="D15" s="332">
        <v>60031</v>
      </c>
      <c r="E15" s="332">
        <v>30109</v>
      </c>
      <c r="F15" s="332">
        <v>29922</v>
      </c>
      <c r="G15" s="332"/>
      <c r="H15" s="332">
        <v>62931</v>
      </c>
      <c r="I15" s="332">
        <v>31282</v>
      </c>
      <c r="J15" s="332">
        <v>31649</v>
      </c>
      <c r="K15" s="332"/>
      <c r="L15" s="332">
        <v>62507</v>
      </c>
      <c r="M15" s="332">
        <v>30885</v>
      </c>
      <c r="N15" s="332">
        <v>31622</v>
      </c>
      <c r="R15" s="303"/>
      <c r="S15" s="303"/>
      <c r="T15" s="303"/>
      <c r="X15" s="303"/>
      <c r="Y15" s="303"/>
      <c r="Z15" s="303"/>
    </row>
    <row r="16" spans="1:26" ht="30" customHeight="1" x14ac:dyDescent="0.3">
      <c r="A16" s="148" t="s">
        <v>4</v>
      </c>
      <c r="B16" s="149"/>
      <c r="C16" s="135"/>
      <c r="D16" s="330">
        <v>30747</v>
      </c>
      <c r="E16" s="330">
        <v>15178</v>
      </c>
      <c r="F16" s="330">
        <v>15569</v>
      </c>
      <c r="G16" s="330"/>
      <c r="H16" s="330">
        <v>35657</v>
      </c>
      <c r="I16" s="330">
        <v>17569</v>
      </c>
      <c r="J16" s="330">
        <v>18088</v>
      </c>
      <c r="K16" s="330"/>
      <c r="L16" s="330">
        <v>35765</v>
      </c>
      <c r="M16" s="330">
        <v>17463</v>
      </c>
      <c r="N16" s="330">
        <v>18302</v>
      </c>
      <c r="R16" s="298"/>
      <c r="S16" s="298"/>
      <c r="T16" s="298"/>
      <c r="X16" s="298"/>
      <c r="Y16" s="298"/>
      <c r="Z16" s="298"/>
    </row>
    <row r="17" spans="1:26" s="146" customFormat="1" ht="30" customHeight="1" x14ac:dyDescent="0.3">
      <c r="A17" s="141" t="s">
        <v>5</v>
      </c>
      <c r="B17" s="150"/>
      <c r="C17" s="143"/>
      <c r="D17" s="332">
        <v>37296</v>
      </c>
      <c r="E17" s="332">
        <v>18254</v>
      </c>
      <c r="F17" s="332">
        <v>19042</v>
      </c>
      <c r="G17" s="332"/>
      <c r="H17" s="332">
        <v>39367</v>
      </c>
      <c r="I17" s="332">
        <v>19175</v>
      </c>
      <c r="J17" s="332">
        <v>20192</v>
      </c>
      <c r="K17" s="332"/>
      <c r="L17" s="332">
        <v>37082</v>
      </c>
      <c r="M17" s="332">
        <v>18233</v>
      </c>
      <c r="N17" s="332">
        <v>18849</v>
      </c>
      <c r="R17" s="303"/>
      <c r="S17" s="303"/>
      <c r="T17" s="303"/>
      <c r="X17" s="303"/>
      <c r="Y17" s="303"/>
      <c r="Z17" s="303"/>
    </row>
    <row r="18" spans="1:26" ht="30" customHeight="1" x14ac:dyDescent="0.3">
      <c r="A18" s="148" t="s">
        <v>6</v>
      </c>
      <c r="B18" s="149"/>
      <c r="C18" s="135"/>
      <c r="D18" s="330">
        <v>54220</v>
      </c>
      <c r="E18" s="330">
        <v>27040</v>
      </c>
      <c r="F18" s="330">
        <v>27180</v>
      </c>
      <c r="G18" s="330"/>
      <c r="H18" s="330">
        <v>55726</v>
      </c>
      <c r="I18" s="330">
        <v>28234</v>
      </c>
      <c r="J18" s="330">
        <v>28793</v>
      </c>
      <c r="K18" s="330"/>
      <c r="L18" s="330">
        <v>56189</v>
      </c>
      <c r="M18" s="330">
        <v>27784</v>
      </c>
      <c r="N18" s="330">
        <v>28405</v>
      </c>
      <c r="R18" s="298"/>
      <c r="S18" s="298"/>
      <c r="T18" s="298"/>
      <c r="X18" s="298"/>
      <c r="Y18" s="298"/>
      <c r="Z18" s="298"/>
    </row>
    <row r="19" spans="1:26" s="146" customFormat="1" ht="30" customHeight="1" x14ac:dyDescent="0.3">
      <c r="A19" s="141" t="s">
        <v>7</v>
      </c>
      <c r="B19" s="150"/>
      <c r="C19" s="143"/>
      <c r="D19" s="332">
        <v>68173</v>
      </c>
      <c r="E19" s="332">
        <v>33878</v>
      </c>
      <c r="F19" s="332">
        <v>34295</v>
      </c>
      <c r="G19" s="332"/>
      <c r="H19" s="332">
        <v>69968</v>
      </c>
      <c r="I19" s="332">
        <v>34560</v>
      </c>
      <c r="J19" s="332">
        <v>35408</v>
      </c>
      <c r="K19" s="332"/>
      <c r="L19" s="332">
        <v>68577</v>
      </c>
      <c r="M19" s="332">
        <v>33597</v>
      </c>
      <c r="N19" s="332">
        <v>34980</v>
      </c>
      <c r="R19" s="303"/>
      <c r="S19" s="303"/>
      <c r="T19" s="303"/>
      <c r="X19" s="303"/>
      <c r="Y19" s="303"/>
      <c r="Z19" s="303"/>
    </row>
    <row r="20" spans="1:26" ht="30" customHeight="1" x14ac:dyDescent="0.3">
      <c r="A20" s="148" t="s">
        <v>8</v>
      </c>
      <c r="B20" s="149"/>
      <c r="C20" s="135"/>
      <c r="D20" s="330">
        <v>9170</v>
      </c>
      <c r="E20" s="330">
        <v>4502</v>
      </c>
      <c r="F20" s="330">
        <v>4668</v>
      </c>
      <c r="G20" s="330"/>
      <c r="H20" s="330">
        <v>9710</v>
      </c>
      <c r="I20" s="330">
        <v>4719</v>
      </c>
      <c r="J20" s="330">
        <v>4991</v>
      </c>
      <c r="K20" s="330"/>
      <c r="L20" s="330">
        <v>9065</v>
      </c>
      <c r="M20" s="330">
        <v>4417</v>
      </c>
      <c r="N20" s="330">
        <v>4648</v>
      </c>
      <c r="R20" s="298"/>
      <c r="S20" s="298"/>
      <c r="T20" s="298"/>
      <c r="X20" s="298"/>
      <c r="Y20" s="298"/>
      <c r="Z20" s="298"/>
    </row>
    <row r="21" spans="1:26" s="146" customFormat="1" ht="30" customHeight="1" x14ac:dyDescent="0.3">
      <c r="A21" s="141" t="s">
        <v>9</v>
      </c>
      <c r="B21" s="150"/>
      <c r="C21" s="143"/>
      <c r="D21" s="332">
        <v>36816</v>
      </c>
      <c r="E21" s="332">
        <v>18295</v>
      </c>
      <c r="F21" s="332">
        <v>18521</v>
      </c>
      <c r="G21" s="332"/>
      <c r="H21" s="332">
        <v>40547</v>
      </c>
      <c r="I21" s="332">
        <v>19605</v>
      </c>
      <c r="J21" s="332">
        <v>20942</v>
      </c>
      <c r="K21" s="332"/>
      <c r="L21" s="332">
        <v>39464</v>
      </c>
      <c r="M21" s="332">
        <v>19517</v>
      </c>
      <c r="N21" s="332">
        <v>19947</v>
      </c>
      <c r="R21" s="303"/>
      <c r="S21" s="303"/>
      <c r="T21" s="303"/>
      <c r="X21" s="303"/>
      <c r="Y21" s="303"/>
      <c r="Z21" s="303"/>
    </row>
    <row r="22" spans="1:26" ht="30" customHeight="1" x14ac:dyDescent="0.3">
      <c r="A22" s="148" t="s">
        <v>10</v>
      </c>
      <c r="B22" s="149"/>
      <c r="C22" s="135"/>
      <c r="D22" s="330">
        <v>83462</v>
      </c>
      <c r="E22" s="330">
        <v>41361</v>
      </c>
      <c r="F22" s="330">
        <v>42101</v>
      </c>
      <c r="G22" s="330"/>
      <c r="H22" s="330">
        <v>85674</v>
      </c>
      <c r="I22" s="330">
        <v>42123</v>
      </c>
      <c r="J22" s="330">
        <v>43551</v>
      </c>
      <c r="K22" s="330"/>
      <c r="L22" s="330">
        <v>90616</v>
      </c>
      <c r="M22" s="330">
        <v>44165</v>
      </c>
      <c r="N22" s="330">
        <v>46451</v>
      </c>
      <c r="R22" s="298"/>
      <c r="S22" s="298"/>
      <c r="T22" s="298"/>
      <c r="X22" s="298"/>
      <c r="Y22" s="298"/>
      <c r="Z22" s="298"/>
    </row>
    <row r="23" spans="1:26" s="146" customFormat="1" ht="30" customHeight="1" x14ac:dyDescent="0.3">
      <c r="A23" s="141" t="s">
        <v>11</v>
      </c>
      <c r="B23" s="150"/>
      <c r="C23" s="143"/>
      <c r="D23" s="332">
        <v>75797</v>
      </c>
      <c r="E23" s="332">
        <v>37349</v>
      </c>
      <c r="F23" s="332">
        <v>38448</v>
      </c>
      <c r="G23" s="332"/>
      <c r="H23" s="332">
        <v>79551</v>
      </c>
      <c r="I23" s="332">
        <v>38990</v>
      </c>
      <c r="J23" s="332">
        <v>40561</v>
      </c>
      <c r="K23" s="332"/>
      <c r="L23" s="332">
        <v>72018</v>
      </c>
      <c r="M23" s="332">
        <v>35539</v>
      </c>
      <c r="N23" s="332">
        <v>36479</v>
      </c>
      <c r="R23" s="303"/>
      <c r="S23" s="303"/>
      <c r="T23" s="303"/>
      <c r="X23" s="303"/>
      <c r="Y23" s="303"/>
      <c r="Z23" s="303"/>
    </row>
    <row r="24" spans="1:26" ht="30" customHeight="1" x14ac:dyDescent="0.3">
      <c r="A24" s="148" t="s">
        <v>12</v>
      </c>
      <c r="B24" s="149"/>
      <c r="C24" s="135"/>
      <c r="D24" s="330">
        <v>164938</v>
      </c>
      <c r="E24" s="330">
        <v>81279</v>
      </c>
      <c r="F24" s="330">
        <v>83659</v>
      </c>
      <c r="G24" s="330"/>
      <c r="H24" s="330">
        <v>172460</v>
      </c>
      <c r="I24" s="330">
        <v>84901</v>
      </c>
      <c r="J24" s="330">
        <v>87559</v>
      </c>
      <c r="K24" s="330"/>
      <c r="L24" s="330">
        <v>170759</v>
      </c>
      <c r="M24" s="330">
        <v>84269</v>
      </c>
      <c r="N24" s="330">
        <v>86490</v>
      </c>
      <c r="R24" s="298"/>
      <c r="S24" s="298"/>
      <c r="T24" s="298"/>
      <c r="X24" s="298"/>
      <c r="Y24" s="298"/>
      <c r="Z24" s="298"/>
    </row>
    <row r="25" spans="1:26" s="146" customFormat="1" ht="30" customHeight="1" x14ac:dyDescent="0.3">
      <c r="A25" s="141" t="s">
        <v>13</v>
      </c>
      <c r="B25" s="150"/>
      <c r="C25" s="143"/>
      <c r="D25" s="332">
        <v>54365</v>
      </c>
      <c r="E25" s="332">
        <v>27129</v>
      </c>
      <c r="F25" s="332">
        <v>27236</v>
      </c>
      <c r="G25" s="332"/>
      <c r="H25" s="332">
        <v>56895</v>
      </c>
      <c r="I25" s="332">
        <v>28315</v>
      </c>
      <c r="J25" s="332">
        <v>28580</v>
      </c>
      <c r="K25" s="332"/>
      <c r="L25" s="332">
        <v>56474</v>
      </c>
      <c r="M25" s="332">
        <v>27660</v>
      </c>
      <c r="N25" s="332">
        <v>28814</v>
      </c>
      <c r="R25" s="303"/>
      <c r="S25" s="303"/>
      <c r="T25" s="303"/>
      <c r="X25" s="303"/>
      <c r="Y25" s="303"/>
      <c r="Z25" s="303"/>
    </row>
    <row r="26" spans="1:26" ht="30" customHeight="1" x14ac:dyDescent="0.3">
      <c r="A26" s="148" t="s">
        <v>14</v>
      </c>
      <c r="B26" s="149"/>
      <c r="C26" s="135"/>
      <c r="D26" s="330">
        <v>36498</v>
      </c>
      <c r="E26" s="330">
        <v>18079</v>
      </c>
      <c r="F26" s="330">
        <v>18419</v>
      </c>
      <c r="G26" s="330"/>
      <c r="H26" s="330">
        <v>39514</v>
      </c>
      <c r="I26" s="330">
        <v>19625</v>
      </c>
      <c r="J26" s="330">
        <v>19889</v>
      </c>
      <c r="K26" s="330"/>
      <c r="L26" s="330">
        <v>38534</v>
      </c>
      <c r="M26" s="330">
        <v>18977</v>
      </c>
      <c r="N26" s="330">
        <v>19557</v>
      </c>
      <c r="R26" s="298"/>
      <c r="S26" s="298"/>
      <c r="T26" s="298"/>
      <c r="X26" s="298"/>
      <c r="Y26" s="298"/>
      <c r="Z26" s="298"/>
    </row>
    <row r="27" spans="1:26" s="146" customFormat="1" ht="30" customHeight="1" x14ac:dyDescent="0.3">
      <c r="A27" s="141" t="s">
        <v>15</v>
      </c>
      <c r="B27" s="150"/>
      <c r="C27" s="143"/>
      <c r="D27" s="332">
        <v>3364</v>
      </c>
      <c r="E27" s="332">
        <v>1672</v>
      </c>
      <c r="F27" s="332">
        <v>1692</v>
      </c>
      <c r="G27" s="332"/>
      <c r="H27" s="332">
        <v>3235</v>
      </c>
      <c r="I27" s="332">
        <v>1567</v>
      </c>
      <c r="J27" s="332">
        <v>1668</v>
      </c>
      <c r="K27" s="332"/>
      <c r="L27" s="332">
        <v>2996</v>
      </c>
      <c r="M27" s="332">
        <v>1404</v>
      </c>
      <c r="N27" s="332">
        <v>1592</v>
      </c>
      <c r="R27" s="303"/>
      <c r="S27" s="303"/>
      <c r="T27" s="303"/>
      <c r="X27" s="303"/>
      <c r="Y27" s="303"/>
      <c r="Z27" s="303"/>
    </row>
    <row r="28" spans="1:26" ht="30" customHeight="1" x14ac:dyDescent="0.3">
      <c r="A28" s="148" t="s">
        <v>16</v>
      </c>
      <c r="B28" s="149"/>
      <c r="C28" s="135"/>
      <c r="D28" s="330">
        <v>5936</v>
      </c>
      <c r="E28" s="330">
        <v>2941</v>
      </c>
      <c r="F28" s="330">
        <v>2995</v>
      </c>
      <c r="G28" s="330"/>
      <c r="H28" s="330">
        <v>6606</v>
      </c>
      <c r="I28" s="330">
        <v>3363</v>
      </c>
      <c r="J28" s="330">
        <v>3243</v>
      </c>
      <c r="K28" s="330"/>
      <c r="L28" s="330">
        <v>5819</v>
      </c>
      <c r="M28" s="330">
        <v>2857</v>
      </c>
      <c r="N28" s="330">
        <v>2962</v>
      </c>
      <c r="R28" s="298"/>
      <c r="S28" s="298"/>
      <c r="T28" s="298"/>
      <c r="X28" s="298"/>
      <c r="Y28" s="298"/>
      <c r="Z28" s="298"/>
    </row>
    <row r="29" spans="1:26" ht="18.75" customHeight="1" thickBot="1" x14ac:dyDescent="0.35">
      <c r="A29" s="152"/>
      <c r="B29" s="152"/>
      <c r="C29" s="153"/>
      <c r="D29" s="52"/>
      <c r="E29" s="153"/>
      <c r="F29" s="52"/>
      <c r="G29" s="175"/>
      <c r="H29" s="52"/>
      <c r="I29" s="333"/>
      <c r="J29" s="333"/>
      <c r="K29" s="175"/>
      <c r="L29" s="52"/>
      <c r="M29" s="333"/>
      <c r="N29" s="333"/>
    </row>
    <row r="30" spans="1:26" ht="18.75" customHeight="1" x14ac:dyDescent="0.3">
      <c r="B30" s="56"/>
      <c r="C30" s="57"/>
      <c r="D30" s="58"/>
      <c r="E30" s="57"/>
      <c r="F30" s="58"/>
      <c r="G30" s="59"/>
      <c r="H30" s="58"/>
      <c r="I30" s="156"/>
      <c r="J30" s="55"/>
      <c r="K30" s="59"/>
      <c r="L30" s="58"/>
      <c r="M30" s="156"/>
      <c r="N30" s="55" t="s">
        <v>21</v>
      </c>
    </row>
    <row r="31" spans="1:26" ht="18.75" customHeight="1" x14ac:dyDescent="0.3">
      <c r="B31" s="7"/>
      <c r="C31" s="57"/>
      <c r="D31" s="58"/>
      <c r="E31" s="57"/>
      <c r="F31" s="58"/>
      <c r="G31" s="59"/>
      <c r="H31" s="58"/>
      <c r="I31" s="156"/>
      <c r="J31" s="2"/>
      <c r="K31" s="59"/>
      <c r="L31" s="58"/>
      <c r="M31" s="156"/>
      <c r="N31" s="421" t="s">
        <v>22</v>
      </c>
    </row>
    <row r="32" spans="1:26" ht="18.75" customHeight="1" x14ac:dyDescent="0.3">
      <c r="A32" s="63" t="s">
        <v>278</v>
      </c>
    </row>
    <row r="33" spans="1:1" ht="18.75" customHeight="1" x14ac:dyDescent="0.3">
      <c r="A33" s="56" t="s">
        <v>219</v>
      </c>
    </row>
    <row r="34" spans="1:1" x14ac:dyDescent="0.3">
      <c r="A34" s="430" t="s">
        <v>220</v>
      </c>
    </row>
  </sheetData>
  <mergeCells count="8">
    <mergeCell ref="C1:N1"/>
    <mergeCell ref="A5:A8"/>
    <mergeCell ref="D5:F5"/>
    <mergeCell ref="H5:J5"/>
    <mergeCell ref="L5:N5"/>
    <mergeCell ref="D6:F6"/>
    <mergeCell ref="H6:J6"/>
    <mergeCell ref="L7:N7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tabColor rgb="FFEE6EE8"/>
  </sheetPr>
  <dimension ref="A1:Y54"/>
  <sheetViews>
    <sheetView tabSelected="1" view="pageBreakPreview" topLeftCell="A34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8.140625" style="16" customWidth="1"/>
    <col min="4" max="4" width="22.140625" style="14" customWidth="1"/>
    <col min="5" max="5" width="1.7109375" style="14" customWidth="1"/>
    <col min="6" max="6" width="22.140625" style="15" customWidth="1"/>
    <col min="7" max="7" width="1.7109375" style="16" customWidth="1"/>
    <col min="8" max="8" width="22.140625" style="14" customWidth="1"/>
    <col min="9" max="9" width="1.7109375" style="14" customWidth="1"/>
    <col min="10" max="10" width="22.140625" style="15" customWidth="1"/>
    <col min="11" max="11" width="1.7109375" style="16" customWidth="1"/>
    <col min="12" max="12" width="22.140625" style="14" customWidth="1"/>
    <col min="13" max="13" width="1.7109375" style="14" customWidth="1"/>
    <col min="14" max="14" width="22.140625" style="15" customWidth="1"/>
    <col min="15" max="15" width="12.42578125" style="16"/>
    <col min="16" max="16" width="7.5703125" style="16" customWidth="1"/>
    <col min="17" max="17" width="12.42578125" style="16"/>
    <col min="18" max="18" width="6.42578125" style="16" customWidth="1"/>
    <col min="19" max="19" width="12.42578125" style="16"/>
    <col min="20" max="20" width="8.28515625" style="16" customWidth="1"/>
    <col min="21" max="16384" width="12.42578125" style="16"/>
  </cols>
  <sheetData>
    <row r="1" spans="1:25" s="71" customFormat="1" ht="18.75" customHeight="1" x14ac:dyDescent="0.3">
      <c r="A1" s="118" t="s">
        <v>91</v>
      </c>
      <c r="B1" s="118" t="s">
        <v>80</v>
      </c>
      <c r="C1" s="529" t="s">
        <v>183</v>
      </c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</row>
    <row r="2" spans="1:25" s="427" customFormat="1" ht="18.75" customHeight="1" x14ac:dyDescent="0.3">
      <c r="A2" s="429" t="s">
        <v>92</v>
      </c>
      <c r="B2" s="429" t="s">
        <v>80</v>
      </c>
      <c r="C2" s="530" t="s">
        <v>184</v>
      </c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</row>
    <row r="3" spans="1:25" s="57" customFormat="1" ht="11.25" customHeight="1" thickBot="1" x14ac:dyDescent="0.35">
      <c r="D3" s="119"/>
      <c r="E3" s="119"/>
      <c r="F3" s="120"/>
      <c r="H3" s="119"/>
      <c r="I3" s="119"/>
      <c r="J3" s="120"/>
      <c r="L3" s="119"/>
      <c r="M3" s="119"/>
      <c r="N3" s="120"/>
    </row>
    <row r="4" spans="1:25" s="57" customFormat="1" ht="9" customHeight="1" x14ac:dyDescent="0.3">
      <c r="A4" s="121"/>
      <c r="B4" s="121"/>
      <c r="C4" s="121"/>
      <c r="D4" s="123"/>
      <c r="E4" s="123"/>
      <c r="F4" s="124"/>
      <c r="G4" s="122"/>
      <c r="H4" s="123"/>
      <c r="I4" s="123"/>
      <c r="J4" s="124"/>
      <c r="K4" s="122"/>
      <c r="L4" s="123"/>
      <c r="M4" s="123"/>
      <c r="N4" s="124"/>
    </row>
    <row r="5" spans="1:25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25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25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25" s="253" customFormat="1" ht="37.5" customHeight="1" x14ac:dyDescent="0.3">
      <c r="A8" s="526"/>
      <c r="B8" s="129"/>
      <c r="C8" s="126"/>
      <c r="D8" s="211" t="s">
        <v>247</v>
      </c>
      <c r="E8" s="77"/>
      <c r="F8" s="77" t="s">
        <v>248</v>
      </c>
      <c r="G8" s="77"/>
      <c r="H8" s="211" t="s">
        <v>247</v>
      </c>
      <c r="I8" s="77"/>
      <c r="J8" s="77" t="s">
        <v>248</v>
      </c>
      <c r="K8" s="77"/>
      <c r="L8" s="211" t="s">
        <v>247</v>
      </c>
      <c r="M8" s="77"/>
      <c r="N8" s="77" t="s">
        <v>248</v>
      </c>
    </row>
    <row r="9" spans="1:25" s="57" customFormat="1" ht="9" customHeight="1" thickBot="1" x14ac:dyDescent="0.35">
      <c r="A9" s="130"/>
      <c r="B9" s="130"/>
      <c r="C9" s="131"/>
      <c r="D9" s="130"/>
      <c r="E9" s="318"/>
      <c r="F9" s="132"/>
      <c r="G9" s="131"/>
      <c r="H9" s="130"/>
      <c r="I9" s="318"/>
      <c r="J9" s="132"/>
      <c r="K9" s="131"/>
      <c r="L9" s="130"/>
      <c r="M9" s="318"/>
      <c r="N9" s="132"/>
    </row>
    <row r="10" spans="1:25" ht="18.75" customHeight="1" x14ac:dyDescent="0.3">
      <c r="A10" s="133"/>
      <c r="B10" s="133"/>
      <c r="C10" s="57"/>
      <c r="D10" s="133"/>
      <c r="E10" s="119"/>
      <c r="F10" s="120"/>
      <c r="G10" s="57"/>
      <c r="H10" s="133"/>
      <c r="I10" s="119"/>
      <c r="J10" s="120"/>
      <c r="K10" s="57"/>
      <c r="L10" s="133"/>
      <c r="M10" s="119"/>
      <c r="N10" s="120"/>
    </row>
    <row r="11" spans="1:25" ht="30" customHeight="1" x14ac:dyDescent="0.3">
      <c r="A11" s="134" t="s">
        <v>0</v>
      </c>
      <c r="B11" s="134"/>
      <c r="C11" s="135"/>
      <c r="D11" s="456">
        <v>2770015</v>
      </c>
      <c r="E11" s="457"/>
      <c r="F11" s="456">
        <v>1984995</v>
      </c>
      <c r="G11" s="457"/>
      <c r="H11" s="456">
        <v>2779131</v>
      </c>
      <c r="I11" s="457">
        <v>0</v>
      </c>
      <c r="J11" s="456">
        <v>1986513</v>
      </c>
      <c r="K11" s="458"/>
      <c r="L11" s="476">
        <v>2774767</v>
      </c>
      <c r="M11" s="476"/>
      <c r="N11" s="476">
        <v>2028829</v>
      </c>
      <c r="O11" s="346"/>
      <c r="P11" s="347"/>
      <c r="R11" s="347"/>
      <c r="T11" s="347"/>
      <c r="V11" s="347"/>
      <c r="W11" s="346"/>
      <c r="X11" s="346"/>
      <c r="Y11" s="346"/>
    </row>
    <row r="12" spans="1:25" ht="18.75" customHeight="1" x14ac:dyDescent="0.3">
      <c r="A12" s="320"/>
      <c r="B12" s="320"/>
      <c r="C12" s="135"/>
      <c r="D12" s="459"/>
      <c r="E12" s="459"/>
      <c r="F12" s="459"/>
      <c r="G12" s="459"/>
      <c r="H12" s="459"/>
      <c r="I12" s="459"/>
      <c r="J12" s="459"/>
      <c r="K12" s="460"/>
      <c r="L12" s="476"/>
      <c r="M12" s="476"/>
      <c r="N12" s="476"/>
    </row>
    <row r="13" spans="1:25" s="146" customFormat="1" ht="30" customHeight="1" x14ac:dyDescent="0.3">
      <c r="A13" s="129" t="s">
        <v>244</v>
      </c>
      <c r="B13" s="129"/>
      <c r="C13" s="143"/>
      <c r="D13" s="461">
        <v>1348358</v>
      </c>
      <c r="E13" s="461"/>
      <c r="F13" s="461">
        <v>980620</v>
      </c>
      <c r="G13" s="461"/>
      <c r="H13" s="461">
        <v>1352383</v>
      </c>
      <c r="I13" s="461">
        <v>0</v>
      </c>
      <c r="J13" s="461">
        <v>983412</v>
      </c>
      <c r="K13" s="462"/>
      <c r="L13" s="479">
        <v>1350288</v>
      </c>
      <c r="M13" s="479"/>
      <c r="N13" s="479">
        <v>1002423</v>
      </c>
      <c r="O13" s="348"/>
      <c r="P13" s="348"/>
      <c r="R13" s="348"/>
      <c r="T13" s="348"/>
      <c r="V13" s="348"/>
      <c r="W13" s="348"/>
      <c r="X13" s="348"/>
      <c r="Y13" s="348"/>
    </row>
    <row r="14" spans="1:25" ht="30" customHeight="1" x14ac:dyDescent="0.3">
      <c r="A14" s="349" t="s">
        <v>1</v>
      </c>
      <c r="B14" s="350"/>
      <c r="C14" s="351"/>
      <c r="D14" s="463">
        <v>161163</v>
      </c>
      <c r="E14" s="464"/>
      <c r="F14" s="465">
        <v>117254</v>
      </c>
      <c r="G14" s="466"/>
      <c r="H14" s="463">
        <v>162535</v>
      </c>
      <c r="I14" s="464"/>
      <c r="J14" s="465">
        <v>117203</v>
      </c>
      <c r="K14" s="467"/>
      <c r="L14" s="477">
        <v>163193</v>
      </c>
      <c r="M14" s="477"/>
      <c r="N14" s="477">
        <v>119124</v>
      </c>
      <c r="O14" s="346"/>
      <c r="P14" s="347"/>
      <c r="R14" s="347"/>
      <c r="T14" s="347"/>
      <c r="V14" s="346"/>
      <c r="W14" s="346"/>
      <c r="X14" s="346"/>
      <c r="Y14" s="346"/>
    </row>
    <row r="15" spans="1:25" s="146" customFormat="1" ht="30" customHeight="1" x14ac:dyDescent="0.3">
      <c r="A15" s="352" t="s">
        <v>2</v>
      </c>
      <c r="B15" s="353"/>
      <c r="C15" s="354"/>
      <c r="D15" s="468">
        <v>92340</v>
      </c>
      <c r="E15" s="469"/>
      <c r="F15" s="470">
        <v>72060</v>
      </c>
      <c r="G15" s="471"/>
      <c r="H15" s="468">
        <v>92363</v>
      </c>
      <c r="I15" s="469"/>
      <c r="J15" s="470">
        <v>71816</v>
      </c>
      <c r="K15" s="472"/>
      <c r="L15" s="480">
        <v>91954</v>
      </c>
      <c r="M15" s="481"/>
      <c r="N15" s="480">
        <v>72475</v>
      </c>
      <c r="O15" s="348"/>
      <c r="P15" s="348"/>
      <c r="R15" s="348"/>
      <c r="T15" s="348"/>
      <c r="V15" s="348"/>
      <c r="W15" s="348"/>
      <c r="X15" s="348"/>
      <c r="Y15" s="348"/>
    </row>
    <row r="16" spans="1:25" ht="30" customHeight="1" x14ac:dyDescent="0.3">
      <c r="A16" s="349" t="s">
        <v>3</v>
      </c>
      <c r="B16" s="350"/>
      <c r="C16" s="350"/>
      <c r="D16" s="463">
        <v>84365</v>
      </c>
      <c r="E16" s="473"/>
      <c r="F16" s="465">
        <v>56799</v>
      </c>
      <c r="G16" s="466"/>
      <c r="H16" s="463">
        <v>84332</v>
      </c>
      <c r="I16" s="473"/>
      <c r="J16" s="465">
        <v>57664</v>
      </c>
      <c r="K16" s="467"/>
      <c r="L16" s="477">
        <v>83774</v>
      </c>
      <c r="M16" s="478"/>
      <c r="N16" s="477">
        <v>59860</v>
      </c>
      <c r="O16" s="346"/>
      <c r="P16" s="347"/>
      <c r="R16" s="347"/>
      <c r="T16" s="347"/>
      <c r="V16" s="346"/>
      <c r="W16" s="346"/>
      <c r="X16" s="346"/>
      <c r="Y16" s="346"/>
    </row>
    <row r="17" spans="1:25" s="146" customFormat="1" ht="30" customHeight="1" x14ac:dyDescent="0.3">
      <c r="A17" s="352" t="s">
        <v>4</v>
      </c>
      <c r="B17" s="353"/>
      <c r="C17" s="354"/>
      <c r="D17" s="468">
        <v>41858</v>
      </c>
      <c r="E17" s="469"/>
      <c r="F17" s="470">
        <v>30906</v>
      </c>
      <c r="G17" s="471"/>
      <c r="H17" s="468">
        <v>42319</v>
      </c>
      <c r="I17" s="469"/>
      <c r="J17" s="470">
        <v>31083</v>
      </c>
      <c r="K17" s="472"/>
      <c r="L17" s="480">
        <v>42616</v>
      </c>
      <c r="M17" s="481"/>
      <c r="N17" s="480">
        <v>31729</v>
      </c>
      <c r="O17" s="348"/>
      <c r="P17" s="348"/>
      <c r="R17" s="348"/>
      <c r="T17" s="348"/>
      <c r="V17" s="348"/>
      <c r="W17" s="348"/>
      <c r="X17" s="348"/>
      <c r="Y17" s="348"/>
    </row>
    <row r="18" spans="1:25" ht="30" customHeight="1" x14ac:dyDescent="0.3">
      <c r="A18" s="349" t="s">
        <v>5</v>
      </c>
      <c r="B18" s="350"/>
      <c r="C18" s="350"/>
      <c r="D18" s="463">
        <v>52736</v>
      </c>
      <c r="E18" s="473"/>
      <c r="F18" s="465">
        <v>41088</v>
      </c>
      <c r="G18" s="466"/>
      <c r="H18" s="463">
        <v>53066</v>
      </c>
      <c r="I18" s="473"/>
      <c r="J18" s="465">
        <v>41117</v>
      </c>
      <c r="K18" s="467"/>
      <c r="L18" s="477">
        <v>53314</v>
      </c>
      <c r="M18" s="478"/>
      <c r="N18" s="477">
        <v>42385</v>
      </c>
      <c r="O18" s="346"/>
      <c r="P18" s="347"/>
      <c r="R18" s="347"/>
      <c r="T18" s="347"/>
      <c r="V18" s="346"/>
      <c r="W18" s="346"/>
      <c r="X18" s="346"/>
      <c r="Y18" s="346"/>
    </row>
    <row r="19" spans="1:25" s="146" customFormat="1" ht="30" customHeight="1" x14ac:dyDescent="0.3">
      <c r="A19" s="352" t="s">
        <v>6</v>
      </c>
      <c r="B19" s="353"/>
      <c r="C19" s="354"/>
      <c r="D19" s="468">
        <v>74146</v>
      </c>
      <c r="E19" s="469"/>
      <c r="F19" s="470">
        <v>49982</v>
      </c>
      <c r="G19" s="471"/>
      <c r="H19" s="468">
        <v>74340</v>
      </c>
      <c r="I19" s="469"/>
      <c r="J19" s="470">
        <v>50549</v>
      </c>
      <c r="K19" s="472"/>
      <c r="L19" s="480">
        <v>74605</v>
      </c>
      <c r="M19" s="481"/>
      <c r="N19" s="480">
        <v>52003</v>
      </c>
      <c r="O19" s="348"/>
      <c r="P19" s="348"/>
      <c r="R19" s="348"/>
      <c r="T19" s="348"/>
      <c r="V19" s="348"/>
      <c r="W19" s="348"/>
      <c r="X19" s="348"/>
      <c r="Y19" s="348"/>
    </row>
    <row r="20" spans="1:25" ht="30" customHeight="1" x14ac:dyDescent="0.3">
      <c r="A20" s="349" t="s">
        <v>7</v>
      </c>
      <c r="B20" s="350"/>
      <c r="C20" s="351"/>
      <c r="D20" s="463">
        <v>97401</v>
      </c>
      <c r="E20" s="473"/>
      <c r="F20" s="465">
        <v>78952</v>
      </c>
      <c r="G20" s="466"/>
      <c r="H20" s="463">
        <v>96506</v>
      </c>
      <c r="I20" s="473"/>
      <c r="J20" s="465">
        <v>78092</v>
      </c>
      <c r="K20" s="467"/>
      <c r="L20" s="477">
        <v>95459</v>
      </c>
      <c r="M20" s="478"/>
      <c r="N20" s="477">
        <v>79166</v>
      </c>
      <c r="O20" s="346"/>
      <c r="P20" s="347"/>
      <c r="R20" s="347"/>
      <c r="T20" s="347"/>
      <c r="V20" s="346"/>
      <c r="W20" s="346"/>
      <c r="X20" s="346"/>
      <c r="Y20" s="346"/>
    </row>
    <row r="21" spans="1:25" s="146" customFormat="1" ht="30" customHeight="1" x14ac:dyDescent="0.3">
      <c r="A21" s="352" t="s">
        <v>8</v>
      </c>
      <c r="B21" s="353"/>
      <c r="C21" s="354"/>
      <c r="D21" s="468">
        <v>11702</v>
      </c>
      <c r="E21" s="469"/>
      <c r="F21" s="470">
        <v>9339</v>
      </c>
      <c r="G21" s="471"/>
      <c r="H21" s="468">
        <v>11853</v>
      </c>
      <c r="I21" s="469"/>
      <c r="J21" s="470">
        <v>9428</v>
      </c>
      <c r="K21" s="472"/>
      <c r="L21" s="480">
        <v>11977</v>
      </c>
      <c r="M21" s="481"/>
      <c r="N21" s="480">
        <v>9741</v>
      </c>
      <c r="O21" s="348"/>
      <c r="P21" s="348"/>
      <c r="R21" s="348"/>
      <c r="T21" s="348"/>
      <c r="V21" s="348"/>
      <c r="W21" s="348"/>
      <c r="X21" s="348"/>
      <c r="Y21" s="348"/>
    </row>
    <row r="22" spans="1:25" ht="30" customHeight="1" x14ac:dyDescent="0.3">
      <c r="A22" s="349" t="s">
        <v>9</v>
      </c>
      <c r="B22" s="350"/>
      <c r="C22" s="350"/>
      <c r="D22" s="463">
        <v>63249</v>
      </c>
      <c r="E22" s="473"/>
      <c r="F22" s="465">
        <v>48416</v>
      </c>
      <c r="G22" s="466"/>
      <c r="H22" s="463">
        <v>63371</v>
      </c>
      <c r="I22" s="473"/>
      <c r="J22" s="465">
        <v>47813</v>
      </c>
      <c r="K22" s="467"/>
      <c r="L22" s="477">
        <v>62958</v>
      </c>
      <c r="M22" s="478"/>
      <c r="N22" s="477">
        <v>48096</v>
      </c>
      <c r="O22" s="346"/>
      <c r="P22" s="347"/>
      <c r="R22" s="347"/>
      <c r="T22" s="347"/>
      <c r="V22" s="346"/>
      <c r="W22" s="346"/>
      <c r="X22" s="346"/>
      <c r="Y22" s="346"/>
    </row>
    <row r="23" spans="1:25" s="146" customFormat="1" ht="30" customHeight="1" x14ac:dyDescent="0.3">
      <c r="A23" s="352" t="s">
        <v>213</v>
      </c>
      <c r="B23" s="353"/>
      <c r="C23" s="353"/>
      <c r="D23" s="468">
        <v>141423</v>
      </c>
      <c r="E23" s="469"/>
      <c r="F23" s="470">
        <v>100458</v>
      </c>
      <c r="G23" s="471"/>
      <c r="H23" s="468">
        <v>141385</v>
      </c>
      <c r="I23" s="469"/>
      <c r="J23" s="470">
        <v>101767</v>
      </c>
      <c r="K23" s="472"/>
      <c r="L23" s="480">
        <v>140531</v>
      </c>
      <c r="M23" s="481"/>
      <c r="N23" s="480">
        <v>104698</v>
      </c>
      <c r="O23" s="348"/>
      <c r="P23" s="348"/>
      <c r="R23" s="348"/>
      <c r="T23" s="348"/>
      <c r="V23" s="348"/>
      <c r="W23" s="348"/>
      <c r="X23" s="348"/>
      <c r="Y23" s="348"/>
    </row>
    <row r="24" spans="1:25" ht="30" customHeight="1" x14ac:dyDescent="0.3">
      <c r="A24" s="349" t="s">
        <v>11</v>
      </c>
      <c r="B24" s="350"/>
      <c r="C24" s="350"/>
      <c r="D24" s="463">
        <v>113656</v>
      </c>
      <c r="E24" s="473"/>
      <c r="F24" s="465">
        <v>92723</v>
      </c>
      <c r="G24" s="466"/>
      <c r="H24" s="463">
        <v>111673</v>
      </c>
      <c r="I24" s="473"/>
      <c r="J24" s="465">
        <v>91422</v>
      </c>
      <c r="K24" s="467"/>
      <c r="L24" s="477">
        <v>108550</v>
      </c>
      <c r="M24" s="478"/>
      <c r="N24" s="477">
        <v>91483</v>
      </c>
      <c r="O24" s="346"/>
      <c r="P24" s="347"/>
      <c r="R24" s="347"/>
      <c r="T24" s="347"/>
      <c r="V24" s="346"/>
      <c r="W24" s="346"/>
      <c r="X24" s="346"/>
      <c r="Y24" s="346"/>
    </row>
    <row r="25" spans="1:25" s="146" customFormat="1" ht="30" customHeight="1" x14ac:dyDescent="0.3">
      <c r="A25" s="352" t="s">
        <v>12</v>
      </c>
      <c r="B25" s="353"/>
      <c r="C25" s="353"/>
      <c r="D25" s="468">
        <v>267361</v>
      </c>
      <c r="E25" s="469"/>
      <c r="F25" s="470">
        <v>182542</v>
      </c>
      <c r="G25" s="471"/>
      <c r="H25" s="468">
        <v>269711</v>
      </c>
      <c r="I25" s="469"/>
      <c r="J25" s="470">
        <v>183982</v>
      </c>
      <c r="K25" s="472"/>
      <c r="L25" s="480">
        <v>270627</v>
      </c>
      <c r="M25" s="481"/>
      <c r="N25" s="480">
        <v>187670</v>
      </c>
      <c r="O25" s="348"/>
      <c r="P25" s="348"/>
      <c r="R25" s="348"/>
      <c r="T25" s="348"/>
      <c r="V25" s="348"/>
      <c r="W25" s="348"/>
      <c r="X25" s="348"/>
      <c r="Y25" s="348"/>
    </row>
    <row r="26" spans="1:25" ht="30" customHeight="1" x14ac:dyDescent="0.3">
      <c r="A26" s="349" t="s">
        <v>13</v>
      </c>
      <c r="B26" s="350"/>
      <c r="C26" s="350"/>
      <c r="D26" s="463">
        <v>65539</v>
      </c>
      <c r="E26" s="473"/>
      <c r="F26" s="465">
        <v>48852</v>
      </c>
      <c r="G26" s="466"/>
      <c r="H26" s="463">
        <v>66332</v>
      </c>
      <c r="I26" s="473"/>
      <c r="J26" s="465">
        <v>49450</v>
      </c>
      <c r="K26" s="467"/>
      <c r="L26" s="477">
        <v>67232</v>
      </c>
      <c r="M26" s="478"/>
      <c r="N26" s="477">
        <v>50575</v>
      </c>
      <c r="O26" s="346"/>
      <c r="P26" s="347"/>
      <c r="R26" s="347"/>
      <c r="T26" s="347"/>
      <c r="V26" s="346"/>
      <c r="W26" s="346"/>
      <c r="X26" s="346"/>
      <c r="Y26" s="346"/>
    </row>
    <row r="27" spans="1:25" s="146" customFormat="1" ht="30" customHeight="1" x14ac:dyDescent="0.3">
      <c r="A27" s="352" t="s">
        <v>232</v>
      </c>
      <c r="B27" s="353"/>
      <c r="C27" s="353"/>
      <c r="D27" s="468">
        <v>76646</v>
      </c>
      <c r="E27" s="469"/>
      <c r="F27" s="470">
        <v>47891</v>
      </c>
      <c r="G27" s="471"/>
      <c r="H27" s="468">
        <v>77727</v>
      </c>
      <c r="I27" s="469"/>
      <c r="J27" s="470">
        <v>48563</v>
      </c>
      <c r="K27" s="472"/>
      <c r="L27" s="480">
        <v>78595</v>
      </c>
      <c r="M27" s="481"/>
      <c r="N27" s="480">
        <v>49811</v>
      </c>
      <c r="O27" s="348"/>
      <c r="P27" s="348"/>
      <c r="R27" s="348"/>
      <c r="T27" s="348"/>
      <c r="V27" s="348"/>
      <c r="W27" s="348"/>
      <c r="X27" s="348"/>
      <c r="Y27" s="348"/>
    </row>
    <row r="28" spans="1:25" ht="30" customHeight="1" x14ac:dyDescent="0.3">
      <c r="A28" s="349" t="s">
        <v>15</v>
      </c>
      <c r="B28" s="350"/>
      <c r="C28" s="350"/>
      <c r="D28" s="463">
        <v>4773</v>
      </c>
      <c r="E28" s="473"/>
      <c r="F28" s="465">
        <v>3358</v>
      </c>
      <c r="G28" s="466"/>
      <c r="H28" s="463">
        <v>4870</v>
      </c>
      <c r="I28" s="473"/>
      <c r="J28" s="465">
        <v>3463</v>
      </c>
      <c r="K28" s="467"/>
      <c r="L28" s="477">
        <v>4903</v>
      </c>
      <c r="M28" s="478"/>
      <c r="N28" s="477">
        <v>3607</v>
      </c>
      <c r="O28" s="346"/>
      <c r="P28" s="347"/>
      <c r="R28" s="347"/>
      <c r="T28" s="347"/>
      <c r="V28" s="346"/>
      <c r="W28" s="346"/>
      <c r="X28" s="346"/>
      <c r="Y28" s="346"/>
    </row>
    <row r="29" spans="1:25" ht="18.75" customHeight="1" x14ac:dyDescent="0.3">
      <c r="A29" s="355"/>
      <c r="B29" s="356"/>
      <c r="C29" s="135"/>
      <c r="D29" s="463"/>
      <c r="E29" s="464"/>
      <c r="F29" s="465"/>
      <c r="G29" s="466"/>
      <c r="H29" s="463"/>
      <c r="I29" s="464"/>
      <c r="J29" s="465"/>
      <c r="K29" s="467"/>
      <c r="L29" s="477"/>
      <c r="M29" s="477"/>
      <c r="N29" s="477"/>
    </row>
    <row r="30" spans="1:25" s="146" customFormat="1" ht="30" customHeight="1" x14ac:dyDescent="0.3">
      <c r="A30" s="129" t="s">
        <v>249</v>
      </c>
      <c r="B30" s="129"/>
      <c r="C30" s="143"/>
      <c r="D30" s="474">
        <v>1421657</v>
      </c>
      <c r="E30" s="474"/>
      <c r="F30" s="474">
        <v>1004375</v>
      </c>
      <c r="G30" s="474"/>
      <c r="H30" s="474">
        <v>1426748</v>
      </c>
      <c r="I30" s="474">
        <v>0</v>
      </c>
      <c r="J30" s="474">
        <v>1003101</v>
      </c>
      <c r="K30" s="475"/>
      <c r="L30" s="479">
        <v>1424479</v>
      </c>
      <c r="M30" s="479"/>
      <c r="N30" s="479">
        <v>1026406</v>
      </c>
      <c r="O30" s="348"/>
      <c r="P30" s="348"/>
      <c r="R30" s="348"/>
      <c r="T30" s="348"/>
      <c r="V30" s="348"/>
      <c r="W30" s="348"/>
      <c r="X30" s="348"/>
      <c r="Y30" s="348"/>
    </row>
    <row r="31" spans="1:25" ht="30" customHeight="1" x14ac:dyDescent="0.3">
      <c r="A31" s="349" t="s">
        <v>1</v>
      </c>
      <c r="B31" s="357"/>
      <c r="C31" s="135"/>
      <c r="D31" s="463">
        <v>170042</v>
      </c>
      <c r="E31" s="464"/>
      <c r="F31" s="465">
        <v>121237</v>
      </c>
      <c r="G31" s="466"/>
      <c r="H31" s="463">
        <v>171191</v>
      </c>
      <c r="I31" s="464"/>
      <c r="J31" s="465">
        <v>120900</v>
      </c>
      <c r="K31" s="467"/>
      <c r="L31" s="477">
        <v>172259</v>
      </c>
      <c r="M31" s="477"/>
      <c r="N31" s="477">
        <v>122968</v>
      </c>
      <c r="O31" s="346"/>
      <c r="P31" s="346"/>
      <c r="R31" s="346"/>
      <c r="T31" s="346"/>
      <c r="V31" s="346"/>
      <c r="W31" s="346"/>
      <c r="X31" s="346"/>
      <c r="Y31" s="346"/>
    </row>
    <row r="32" spans="1:25" s="146" customFormat="1" ht="30" customHeight="1" x14ac:dyDescent="0.3">
      <c r="A32" s="352" t="s">
        <v>2</v>
      </c>
      <c r="B32" s="358"/>
      <c r="C32" s="143"/>
      <c r="D32" s="468">
        <v>96184</v>
      </c>
      <c r="E32" s="469"/>
      <c r="F32" s="470">
        <v>71531</v>
      </c>
      <c r="G32" s="471"/>
      <c r="H32" s="468">
        <v>95997</v>
      </c>
      <c r="I32" s="469"/>
      <c r="J32" s="470">
        <v>71090</v>
      </c>
      <c r="K32" s="472"/>
      <c r="L32" s="480">
        <v>95791</v>
      </c>
      <c r="M32" s="481"/>
      <c r="N32" s="480">
        <v>71912</v>
      </c>
      <c r="O32" s="348"/>
      <c r="P32" s="348"/>
      <c r="R32" s="348"/>
      <c r="T32" s="348"/>
      <c r="V32" s="348"/>
      <c r="W32" s="348"/>
      <c r="X32" s="348"/>
      <c r="Y32" s="348"/>
    </row>
    <row r="33" spans="1:25" ht="30" customHeight="1" x14ac:dyDescent="0.3">
      <c r="A33" s="349" t="s">
        <v>3</v>
      </c>
      <c r="B33" s="357"/>
      <c r="C33" s="357"/>
      <c r="D33" s="463">
        <v>87780</v>
      </c>
      <c r="E33" s="473"/>
      <c r="F33" s="465">
        <v>56530</v>
      </c>
      <c r="G33" s="466"/>
      <c r="H33" s="463">
        <v>87535</v>
      </c>
      <c r="I33" s="473"/>
      <c r="J33" s="465">
        <v>57100</v>
      </c>
      <c r="K33" s="467"/>
      <c r="L33" s="477">
        <v>87006</v>
      </c>
      <c r="M33" s="478"/>
      <c r="N33" s="477">
        <v>59144</v>
      </c>
      <c r="O33" s="346"/>
      <c r="P33" s="346"/>
      <c r="R33" s="346"/>
      <c r="T33" s="346"/>
      <c r="V33" s="346"/>
      <c r="W33" s="346"/>
      <c r="X33" s="346"/>
      <c r="Y33" s="346"/>
    </row>
    <row r="34" spans="1:25" s="146" customFormat="1" ht="30" customHeight="1" x14ac:dyDescent="0.3">
      <c r="A34" s="352" t="s">
        <v>4</v>
      </c>
      <c r="B34" s="358"/>
      <c r="C34" s="143"/>
      <c r="D34" s="468">
        <v>44411</v>
      </c>
      <c r="E34" s="469"/>
      <c r="F34" s="470">
        <v>31479</v>
      </c>
      <c r="G34" s="471"/>
      <c r="H34" s="468">
        <v>44932</v>
      </c>
      <c r="I34" s="469"/>
      <c r="J34" s="470">
        <v>31799</v>
      </c>
      <c r="K34" s="472"/>
      <c r="L34" s="480">
        <v>45224</v>
      </c>
      <c r="M34" s="481"/>
      <c r="N34" s="480">
        <v>32873</v>
      </c>
      <c r="O34" s="348"/>
      <c r="P34" s="348"/>
      <c r="R34" s="348"/>
      <c r="T34" s="348"/>
      <c r="V34" s="348"/>
      <c r="W34" s="348"/>
      <c r="X34" s="348"/>
      <c r="Y34" s="348"/>
    </row>
    <row r="35" spans="1:25" ht="30" customHeight="1" x14ac:dyDescent="0.3">
      <c r="A35" s="349" t="s">
        <v>5</v>
      </c>
      <c r="B35" s="357"/>
      <c r="C35" s="357"/>
      <c r="D35" s="463">
        <v>56120</v>
      </c>
      <c r="E35" s="473"/>
      <c r="F35" s="465">
        <v>42483</v>
      </c>
      <c r="G35" s="466"/>
      <c r="H35" s="463">
        <v>56814</v>
      </c>
      <c r="I35" s="473"/>
      <c r="J35" s="465">
        <v>42269</v>
      </c>
      <c r="K35" s="467"/>
      <c r="L35" s="477">
        <v>57127</v>
      </c>
      <c r="M35" s="478"/>
      <c r="N35" s="477">
        <v>43843</v>
      </c>
      <c r="O35" s="346"/>
      <c r="P35" s="346"/>
      <c r="R35" s="346"/>
      <c r="T35" s="346"/>
      <c r="V35" s="346"/>
      <c r="W35" s="346"/>
      <c r="X35" s="346"/>
      <c r="Y35" s="346"/>
    </row>
    <row r="36" spans="1:25" s="146" customFormat="1" ht="30" customHeight="1" x14ac:dyDescent="0.3">
      <c r="A36" s="352" t="s">
        <v>6</v>
      </c>
      <c r="B36" s="358"/>
      <c r="C36" s="143"/>
      <c r="D36" s="468">
        <v>77478</v>
      </c>
      <c r="E36" s="469"/>
      <c r="F36" s="470">
        <v>51841</v>
      </c>
      <c r="G36" s="471"/>
      <c r="H36" s="468">
        <v>78206</v>
      </c>
      <c r="I36" s="469"/>
      <c r="J36" s="470">
        <v>51575</v>
      </c>
      <c r="K36" s="472"/>
      <c r="L36" s="480">
        <v>78219</v>
      </c>
      <c r="M36" s="481"/>
      <c r="N36" s="480">
        <v>53340</v>
      </c>
      <c r="O36" s="348"/>
      <c r="P36" s="348"/>
      <c r="R36" s="348"/>
      <c r="T36" s="348"/>
      <c r="V36" s="348"/>
      <c r="W36" s="348"/>
      <c r="X36" s="348"/>
      <c r="Y36" s="348"/>
    </row>
    <row r="37" spans="1:25" ht="30" customHeight="1" x14ac:dyDescent="0.3">
      <c r="A37" s="349" t="s">
        <v>7</v>
      </c>
      <c r="B37" s="357"/>
      <c r="C37" s="135"/>
      <c r="D37" s="463">
        <v>103142</v>
      </c>
      <c r="E37" s="473"/>
      <c r="F37" s="465">
        <v>81435</v>
      </c>
      <c r="G37" s="466"/>
      <c r="H37" s="463">
        <v>102491</v>
      </c>
      <c r="I37" s="473"/>
      <c r="J37" s="465">
        <v>80228</v>
      </c>
      <c r="K37" s="467"/>
      <c r="L37" s="477">
        <v>101047</v>
      </c>
      <c r="M37" s="478"/>
      <c r="N37" s="477">
        <v>82359</v>
      </c>
      <c r="O37" s="346"/>
      <c r="P37" s="346"/>
      <c r="R37" s="346"/>
      <c r="T37" s="346"/>
      <c r="V37" s="346"/>
      <c r="W37" s="346"/>
      <c r="X37" s="346"/>
      <c r="Y37" s="346"/>
    </row>
    <row r="38" spans="1:25" s="146" customFormat="1" ht="30" customHeight="1" x14ac:dyDescent="0.3">
      <c r="A38" s="352" t="s">
        <v>8</v>
      </c>
      <c r="B38" s="358"/>
      <c r="C38" s="143"/>
      <c r="D38" s="468">
        <v>12551</v>
      </c>
      <c r="E38" s="469"/>
      <c r="F38" s="470">
        <v>9776</v>
      </c>
      <c r="G38" s="471"/>
      <c r="H38" s="468">
        <v>12743</v>
      </c>
      <c r="I38" s="469"/>
      <c r="J38" s="470">
        <v>9913</v>
      </c>
      <c r="K38" s="472"/>
      <c r="L38" s="480">
        <v>12817</v>
      </c>
      <c r="M38" s="481"/>
      <c r="N38" s="480">
        <v>10486</v>
      </c>
      <c r="O38" s="348"/>
      <c r="P38" s="348"/>
      <c r="R38" s="348"/>
      <c r="T38" s="348"/>
      <c r="V38" s="348"/>
      <c r="W38" s="348"/>
      <c r="X38" s="348"/>
      <c r="Y38" s="348"/>
    </row>
    <row r="39" spans="1:25" ht="30" customHeight="1" x14ac:dyDescent="0.3">
      <c r="A39" s="349" t="s">
        <v>9</v>
      </c>
      <c r="B39" s="357"/>
      <c r="C39" s="357"/>
      <c r="D39" s="463">
        <v>66349</v>
      </c>
      <c r="E39" s="473"/>
      <c r="F39" s="465">
        <v>50162</v>
      </c>
      <c r="G39" s="466"/>
      <c r="H39" s="463">
        <v>66366</v>
      </c>
      <c r="I39" s="473"/>
      <c r="J39" s="465">
        <v>49083</v>
      </c>
      <c r="K39" s="467"/>
      <c r="L39" s="477">
        <v>65744</v>
      </c>
      <c r="M39" s="478"/>
      <c r="N39" s="477">
        <v>49950</v>
      </c>
      <c r="O39" s="346"/>
      <c r="P39" s="346"/>
      <c r="R39" s="346"/>
      <c r="T39" s="346"/>
      <c r="V39" s="346"/>
      <c r="W39" s="346"/>
      <c r="X39" s="346"/>
      <c r="Y39" s="346"/>
    </row>
    <row r="40" spans="1:25" s="146" customFormat="1" ht="30" customHeight="1" x14ac:dyDescent="0.3">
      <c r="A40" s="352" t="s">
        <v>213</v>
      </c>
      <c r="B40" s="358"/>
      <c r="C40" s="358"/>
      <c r="D40" s="468">
        <v>151118</v>
      </c>
      <c r="E40" s="469"/>
      <c r="F40" s="470">
        <v>104322</v>
      </c>
      <c r="G40" s="471"/>
      <c r="H40" s="468">
        <v>150758</v>
      </c>
      <c r="I40" s="469"/>
      <c r="J40" s="470">
        <v>105125</v>
      </c>
      <c r="K40" s="472"/>
      <c r="L40" s="480">
        <v>149842</v>
      </c>
      <c r="M40" s="481"/>
      <c r="N40" s="480">
        <v>107773</v>
      </c>
      <c r="O40" s="348"/>
      <c r="P40" s="348"/>
      <c r="R40" s="348"/>
      <c r="T40" s="348"/>
      <c r="V40" s="348"/>
      <c r="W40" s="348"/>
      <c r="X40" s="348"/>
      <c r="Y40" s="348"/>
    </row>
    <row r="41" spans="1:25" ht="30" customHeight="1" x14ac:dyDescent="0.3">
      <c r="A41" s="349" t="s">
        <v>11</v>
      </c>
      <c r="B41" s="357"/>
      <c r="C41" s="357"/>
      <c r="D41" s="463">
        <v>121663</v>
      </c>
      <c r="E41" s="473"/>
      <c r="F41" s="465">
        <v>96935</v>
      </c>
      <c r="G41" s="466"/>
      <c r="H41" s="463">
        <v>119497</v>
      </c>
      <c r="I41" s="473"/>
      <c r="J41" s="465">
        <v>94998</v>
      </c>
      <c r="K41" s="467"/>
      <c r="L41" s="477">
        <v>116564</v>
      </c>
      <c r="M41" s="478"/>
      <c r="N41" s="477">
        <v>95172</v>
      </c>
      <c r="O41" s="346"/>
      <c r="P41" s="346"/>
      <c r="R41" s="346"/>
      <c r="T41" s="346"/>
      <c r="V41" s="346"/>
      <c r="W41" s="346"/>
      <c r="X41" s="346"/>
      <c r="Y41" s="346"/>
    </row>
    <row r="42" spans="1:25" s="146" customFormat="1" ht="30" customHeight="1" x14ac:dyDescent="0.3">
      <c r="A42" s="352" t="s">
        <v>12</v>
      </c>
      <c r="B42" s="358"/>
      <c r="C42" s="358"/>
      <c r="D42" s="468">
        <v>281261</v>
      </c>
      <c r="E42" s="469"/>
      <c r="F42" s="470">
        <v>185122</v>
      </c>
      <c r="G42" s="471"/>
      <c r="H42" s="468">
        <v>284275</v>
      </c>
      <c r="I42" s="469"/>
      <c r="J42" s="470">
        <v>185780</v>
      </c>
      <c r="K42" s="472"/>
      <c r="L42" s="480">
        <v>285833</v>
      </c>
      <c r="M42" s="481"/>
      <c r="N42" s="480">
        <v>189856</v>
      </c>
      <c r="O42" s="348"/>
      <c r="P42" s="348"/>
      <c r="R42" s="348"/>
      <c r="T42" s="348"/>
      <c r="V42" s="348"/>
      <c r="W42" s="348"/>
      <c r="X42" s="348"/>
      <c r="Y42" s="348"/>
    </row>
    <row r="43" spans="1:25" ht="30" customHeight="1" x14ac:dyDescent="0.3">
      <c r="A43" s="349" t="s">
        <v>13</v>
      </c>
      <c r="B43" s="357"/>
      <c r="C43" s="357"/>
      <c r="D43" s="463">
        <v>69018</v>
      </c>
      <c r="E43" s="473"/>
      <c r="F43" s="465">
        <v>48317</v>
      </c>
      <c r="G43" s="466"/>
      <c r="H43" s="463">
        <v>69802</v>
      </c>
      <c r="I43" s="473"/>
      <c r="J43" s="465">
        <v>49245</v>
      </c>
      <c r="K43" s="467"/>
      <c r="L43" s="477">
        <v>70302</v>
      </c>
      <c r="M43" s="478"/>
      <c r="N43" s="477">
        <v>50841</v>
      </c>
      <c r="O43" s="346"/>
      <c r="P43" s="346"/>
      <c r="R43" s="346"/>
      <c r="T43" s="346"/>
      <c r="V43" s="346"/>
      <c r="W43" s="346"/>
      <c r="X43" s="346"/>
      <c r="Y43" s="346"/>
    </row>
    <row r="44" spans="1:25" s="146" customFormat="1" ht="30" customHeight="1" x14ac:dyDescent="0.3">
      <c r="A44" s="352" t="s">
        <v>232</v>
      </c>
      <c r="B44" s="358"/>
      <c r="C44" s="358"/>
      <c r="D44" s="468">
        <v>79388</v>
      </c>
      <c r="E44" s="469"/>
      <c r="F44" s="470">
        <v>49742</v>
      </c>
      <c r="G44" s="471"/>
      <c r="H44" s="468">
        <v>80916</v>
      </c>
      <c r="I44" s="469"/>
      <c r="J44" s="470">
        <v>50432</v>
      </c>
      <c r="K44" s="472"/>
      <c r="L44" s="480">
        <v>81475</v>
      </c>
      <c r="M44" s="481"/>
      <c r="N44" s="480">
        <v>52014</v>
      </c>
      <c r="O44" s="348"/>
      <c r="P44" s="348"/>
      <c r="R44" s="348"/>
      <c r="T44" s="348"/>
      <c r="V44" s="348"/>
      <c r="W44" s="348"/>
      <c r="X44" s="348"/>
      <c r="Y44" s="348"/>
    </row>
    <row r="45" spans="1:25" ht="30" customHeight="1" x14ac:dyDescent="0.3">
      <c r="A45" s="349" t="s">
        <v>15</v>
      </c>
      <c r="B45" s="357"/>
      <c r="C45" s="357"/>
      <c r="D45" s="463">
        <v>5152</v>
      </c>
      <c r="E45" s="473"/>
      <c r="F45" s="465">
        <v>3463</v>
      </c>
      <c r="G45" s="466"/>
      <c r="H45" s="463">
        <v>5225</v>
      </c>
      <c r="I45" s="473"/>
      <c r="J45" s="465">
        <v>3564</v>
      </c>
      <c r="K45" s="467"/>
      <c r="L45" s="477">
        <v>5229</v>
      </c>
      <c r="M45" s="478"/>
      <c r="N45" s="477">
        <v>3875</v>
      </c>
      <c r="O45" s="346"/>
      <c r="P45" s="346"/>
      <c r="R45" s="346"/>
      <c r="T45" s="346"/>
      <c r="V45" s="346"/>
      <c r="W45" s="346"/>
      <c r="X45" s="346"/>
      <c r="Y45" s="346"/>
    </row>
    <row r="46" spans="1:25" ht="18.75" customHeight="1" thickBot="1" x14ac:dyDescent="0.35">
      <c r="A46" s="152"/>
      <c r="B46" s="152"/>
      <c r="C46" s="153"/>
      <c r="D46" s="174"/>
      <c r="E46" s="176"/>
      <c r="F46" s="177"/>
      <c r="G46" s="175"/>
      <c r="H46" s="174"/>
      <c r="I46" s="176"/>
      <c r="J46" s="177"/>
      <c r="K46" s="175"/>
      <c r="L46" s="174"/>
      <c r="M46" s="176"/>
      <c r="N46" s="177"/>
      <c r="V46" s="346"/>
      <c r="W46" s="346"/>
      <c r="X46" s="346"/>
      <c r="Y46" s="346"/>
    </row>
    <row r="47" spans="1:25" ht="18.75" customHeight="1" x14ac:dyDescent="0.3">
      <c r="B47" s="56"/>
      <c r="C47" s="57"/>
      <c r="D47" s="156"/>
      <c r="E47" s="60"/>
      <c r="F47" s="55"/>
      <c r="G47" s="59"/>
      <c r="H47" s="156"/>
      <c r="I47" s="60"/>
      <c r="J47" s="55"/>
      <c r="K47" s="59"/>
      <c r="L47" s="156"/>
      <c r="M47" s="60"/>
      <c r="N47" s="55" t="s">
        <v>21</v>
      </c>
    </row>
    <row r="48" spans="1:25" ht="18.75" customHeight="1" x14ac:dyDescent="0.3">
      <c r="A48" s="63" t="s">
        <v>241</v>
      </c>
      <c r="B48" s="7"/>
      <c r="C48" s="57"/>
      <c r="D48" s="156"/>
      <c r="E48" s="62"/>
      <c r="F48" s="2"/>
      <c r="G48" s="59"/>
      <c r="H48" s="156"/>
      <c r="I48" s="62"/>
      <c r="J48" s="2"/>
      <c r="K48" s="59"/>
      <c r="L48" s="156"/>
      <c r="M48" s="62"/>
      <c r="N48" s="421" t="s">
        <v>22</v>
      </c>
    </row>
    <row r="49" spans="1:14" ht="18.75" customHeight="1" x14ac:dyDescent="0.3">
      <c r="A49" s="56" t="s">
        <v>212</v>
      </c>
      <c r="B49" s="56"/>
    </row>
    <row r="50" spans="1:14" s="359" customFormat="1" ht="18.75" customHeight="1" x14ac:dyDescent="0.25">
      <c r="A50" s="430" t="s">
        <v>250</v>
      </c>
      <c r="B50" s="17"/>
      <c r="D50" s="360"/>
      <c r="E50" s="360"/>
      <c r="F50" s="361"/>
      <c r="H50" s="360"/>
      <c r="I50" s="360"/>
      <c r="J50" s="361"/>
      <c r="L50" s="360"/>
      <c r="M50" s="360"/>
      <c r="N50" s="361"/>
    </row>
    <row r="51" spans="1:14" ht="18.75" customHeight="1" x14ac:dyDescent="0.3">
      <c r="A51" s="56" t="s">
        <v>239</v>
      </c>
      <c r="B51" s="56"/>
    </row>
    <row r="52" spans="1:14" s="359" customFormat="1" ht="18.75" customHeight="1" x14ac:dyDescent="0.25">
      <c r="A52" s="430" t="s">
        <v>74</v>
      </c>
      <c r="B52" s="17"/>
      <c r="D52" s="360"/>
      <c r="E52" s="360"/>
      <c r="F52" s="361"/>
      <c r="H52" s="360"/>
      <c r="I52" s="360"/>
      <c r="J52" s="361"/>
      <c r="L52" s="360"/>
      <c r="M52" s="360"/>
      <c r="N52" s="361"/>
    </row>
    <row r="53" spans="1:14" ht="18.75" customHeight="1" x14ac:dyDescent="0.3">
      <c r="A53" s="254" t="s">
        <v>240</v>
      </c>
      <c r="B53" s="257"/>
    </row>
    <row r="54" spans="1:14" s="359" customFormat="1" ht="18.75" customHeight="1" x14ac:dyDescent="0.25">
      <c r="A54" s="431" t="s">
        <v>154</v>
      </c>
      <c r="B54" s="13"/>
      <c r="D54" s="360"/>
      <c r="E54" s="360"/>
      <c r="F54" s="361"/>
      <c r="H54" s="360"/>
      <c r="I54" s="360"/>
      <c r="J54" s="361"/>
      <c r="L54" s="360"/>
      <c r="M54" s="360"/>
      <c r="N54" s="361"/>
    </row>
  </sheetData>
  <mergeCells count="9">
    <mergeCell ref="C1:N1"/>
    <mergeCell ref="C2:N2"/>
    <mergeCell ref="A5:A8"/>
    <mergeCell ref="D5:F5"/>
    <mergeCell ref="L5:N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tabColor rgb="FFEE6EE8"/>
  </sheetPr>
  <dimension ref="A1:AJ36"/>
  <sheetViews>
    <sheetView tabSelected="1" view="pageBreakPreview" topLeftCell="A22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3.5703125" style="16" customWidth="1"/>
    <col min="19" max="21" width="12.42578125" style="16"/>
    <col min="22" max="22" width="5" style="16" customWidth="1"/>
    <col min="23" max="24" width="12.42578125" style="16"/>
    <col min="25" max="25" width="6" style="16" customWidth="1"/>
    <col min="26" max="16384" width="12.42578125" style="16"/>
  </cols>
  <sheetData>
    <row r="1" spans="1:36" s="71" customFormat="1" ht="18.75" customHeight="1" x14ac:dyDescent="0.3">
      <c r="A1" s="70" t="s">
        <v>94</v>
      </c>
      <c r="B1" s="70" t="s">
        <v>80</v>
      </c>
      <c r="C1" s="70" t="s">
        <v>185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36" s="435" customFormat="1" ht="18.75" customHeight="1" x14ac:dyDescent="0.25">
      <c r="A2" s="429" t="s">
        <v>93</v>
      </c>
      <c r="B2" s="429" t="s">
        <v>80</v>
      </c>
      <c r="C2" s="531" t="s">
        <v>186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</row>
    <row r="3" spans="1:36" s="57" customFormat="1" ht="11.25" customHeight="1" thickBot="1" x14ac:dyDescent="0.35">
      <c r="I3" s="119"/>
      <c r="J3" s="120"/>
      <c r="M3" s="119"/>
      <c r="N3" s="120"/>
    </row>
    <row r="4" spans="1:36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6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328"/>
      <c r="H5" s="527">
        <v>2023</v>
      </c>
      <c r="I5" s="527"/>
      <c r="J5" s="527"/>
      <c r="K5" s="328"/>
      <c r="L5" s="527">
        <v>2024</v>
      </c>
      <c r="M5" s="527"/>
      <c r="N5" s="527"/>
    </row>
    <row r="6" spans="1:36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36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6" s="253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6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6" ht="18.75" customHeight="1" x14ac:dyDescent="0.3">
      <c r="A10" s="133"/>
      <c r="B10" s="133"/>
      <c r="C10" s="57"/>
      <c r="D10" s="57"/>
      <c r="E10" s="133"/>
      <c r="F10" s="120"/>
      <c r="G10" s="57"/>
      <c r="H10" s="57"/>
      <c r="K10" s="57"/>
      <c r="L10" s="57"/>
    </row>
    <row r="11" spans="1:36" s="149" customFormat="1" ht="30" customHeight="1" x14ac:dyDescent="0.25">
      <c r="A11" s="134" t="s">
        <v>0</v>
      </c>
      <c r="B11" s="134"/>
      <c r="C11" s="135"/>
      <c r="D11" s="136">
        <v>1202202</v>
      </c>
      <c r="E11" s="136">
        <v>681642</v>
      </c>
      <c r="F11" s="136">
        <v>520560</v>
      </c>
      <c r="G11" s="335"/>
      <c r="H11" s="136">
        <v>1247908</v>
      </c>
      <c r="I11" s="136">
        <v>705845</v>
      </c>
      <c r="J11" s="136">
        <v>542063</v>
      </c>
      <c r="K11" s="335">
        <v>0</v>
      </c>
      <c r="L11" s="136">
        <v>1380920</v>
      </c>
      <c r="M11" s="136">
        <v>782007</v>
      </c>
      <c r="N11" s="136">
        <v>598913</v>
      </c>
      <c r="V11" s="166"/>
      <c r="W11" s="166"/>
      <c r="X11" s="166"/>
      <c r="Y11" s="336"/>
      <c r="Z11" s="166"/>
      <c r="AA11" s="166"/>
      <c r="AB11" s="166"/>
      <c r="AD11" s="166"/>
      <c r="AE11" s="166"/>
      <c r="AF11" s="166"/>
      <c r="AH11" s="166"/>
      <c r="AI11" s="166"/>
      <c r="AJ11" s="166"/>
    </row>
    <row r="12" spans="1:36" ht="18.75" customHeight="1" x14ac:dyDescent="0.3">
      <c r="A12" s="133"/>
      <c r="B12" s="133"/>
      <c r="C12" s="57"/>
      <c r="D12" s="139"/>
      <c r="E12" s="139"/>
      <c r="F12" s="139"/>
      <c r="G12" s="337"/>
      <c r="H12" s="139"/>
      <c r="I12" s="139"/>
      <c r="J12" s="139"/>
      <c r="K12" s="337"/>
      <c r="L12" s="139"/>
      <c r="M12" s="139"/>
      <c r="N12" s="139"/>
    </row>
    <row r="13" spans="1:36" s="146" customFormat="1" ht="30" customHeight="1" x14ac:dyDescent="0.3">
      <c r="A13" s="141" t="s">
        <v>1</v>
      </c>
      <c r="B13" s="338"/>
      <c r="C13" s="143"/>
      <c r="D13" s="144">
        <v>83716</v>
      </c>
      <c r="E13" s="144">
        <v>41553</v>
      </c>
      <c r="F13" s="144">
        <v>42163</v>
      </c>
      <c r="G13" s="339"/>
      <c r="H13" s="144">
        <v>85163</v>
      </c>
      <c r="I13" s="144">
        <v>42594</v>
      </c>
      <c r="J13" s="144">
        <v>42569</v>
      </c>
      <c r="K13" s="339"/>
      <c r="L13" s="144">
        <f>86521+2550</f>
        <v>89071</v>
      </c>
      <c r="M13" s="144">
        <f>43297+1811</f>
        <v>45108</v>
      </c>
      <c r="N13" s="144">
        <f>43224+739</f>
        <v>43963</v>
      </c>
      <c r="V13" s="171"/>
      <c r="W13" s="171"/>
      <c r="X13" s="171"/>
      <c r="Y13" s="340"/>
      <c r="Z13" s="171"/>
      <c r="AA13" s="171"/>
      <c r="AB13" s="171"/>
      <c r="AD13" s="171"/>
      <c r="AE13" s="171"/>
      <c r="AF13" s="171"/>
      <c r="AH13" s="171"/>
      <c r="AI13" s="171"/>
      <c r="AJ13" s="171"/>
    </row>
    <row r="14" spans="1:36" ht="30" customHeight="1" x14ac:dyDescent="0.3">
      <c r="A14" s="148" t="s">
        <v>2</v>
      </c>
      <c r="B14" s="341"/>
      <c r="C14" s="135"/>
      <c r="D14" s="139">
        <v>59750</v>
      </c>
      <c r="E14" s="139">
        <v>35887</v>
      </c>
      <c r="F14" s="139">
        <v>23863</v>
      </c>
      <c r="G14" s="342"/>
      <c r="H14" s="139">
        <v>59053</v>
      </c>
      <c r="I14" s="139">
        <v>35481</v>
      </c>
      <c r="J14" s="139">
        <v>23572</v>
      </c>
      <c r="K14" s="342"/>
      <c r="L14" s="139">
        <f>57598+2898</f>
        <v>60496</v>
      </c>
      <c r="M14" s="139">
        <f>34878+2062</f>
        <v>36940</v>
      </c>
      <c r="N14" s="139">
        <f>22720+836</f>
        <v>23556</v>
      </c>
      <c r="V14" s="166"/>
      <c r="W14" s="166"/>
      <c r="X14" s="166"/>
      <c r="Y14" s="336"/>
      <c r="Z14" s="166"/>
      <c r="AA14" s="166"/>
      <c r="AB14" s="166"/>
      <c r="AD14" s="166"/>
      <c r="AE14" s="166"/>
      <c r="AF14" s="166"/>
      <c r="AH14" s="166"/>
      <c r="AI14" s="166"/>
      <c r="AJ14" s="166"/>
    </row>
    <row r="15" spans="1:36" s="146" customFormat="1" ht="30" customHeight="1" x14ac:dyDescent="0.3">
      <c r="A15" s="141" t="s">
        <v>3</v>
      </c>
      <c r="B15" s="338"/>
      <c r="C15" s="143"/>
      <c r="D15" s="144">
        <v>36730</v>
      </c>
      <c r="E15" s="144">
        <v>24747</v>
      </c>
      <c r="F15" s="144">
        <v>11983</v>
      </c>
      <c r="G15" s="339"/>
      <c r="H15" s="144">
        <v>39639</v>
      </c>
      <c r="I15" s="144">
        <v>26666</v>
      </c>
      <c r="J15" s="144">
        <v>12973</v>
      </c>
      <c r="K15" s="339"/>
      <c r="L15" s="144">
        <f>41426+1446</f>
        <v>42872</v>
      </c>
      <c r="M15" s="144">
        <f>28034+1002</f>
        <v>29036</v>
      </c>
      <c r="N15" s="144">
        <f>13392+444</f>
        <v>13836</v>
      </c>
      <c r="V15" s="171"/>
      <c r="W15" s="171"/>
      <c r="X15" s="171"/>
      <c r="Y15" s="340"/>
      <c r="Z15" s="171"/>
      <c r="AA15" s="171"/>
      <c r="AB15" s="171"/>
      <c r="AD15" s="171"/>
      <c r="AE15" s="171"/>
      <c r="AF15" s="171"/>
      <c r="AH15" s="171"/>
      <c r="AI15" s="171"/>
      <c r="AJ15" s="171"/>
    </row>
    <row r="16" spans="1:36" ht="30" customHeight="1" x14ac:dyDescent="0.3">
      <c r="A16" s="148" t="s">
        <v>4</v>
      </c>
      <c r="B16" s="341"/>
      <c r="C16" s="135"/>
      <c r="D16" s="139">
        <v>51878</v>
      </c>
      <c r="E16" s="139">
        <v>26847</v>
      </c>
      <c r="F16" s="139">
        <v>25031</v>
      </c>
      <c r="G16" s="342"/>
      <c r="H16" s="139">
        <v>52828</v>
      </c>
      <c r="I16" s="139">
        <v>27005</v>
      </c>
      <c r="J16" s="139">
        <v>25823</v>
      </c>
      <c r="K16" s="342"/>
      <c r="L16" s="139">
        <f>58089+1246</f>
        <v>59335</v>
      </c>
      <c r="M16" s="139">
        <f>29641+1162</f>
        <v>30803</v>
      </c>
      <c r="N16" s="139">
        <f>28448+84</f>
        <v>28532</v>
      </c>
      <c r="V16" s="166"/>
      <c r="W16" s="166"/>
      <c r="X16" s="166"/>
      <c r="Y16" s="336"/>
      <c r="Z16" s="166"/>
      <c r="AA16" s="166"/>
      <c r="AB16" s="166"/>
      <c r="AD16" s="166"/>
      <c r="AE16" s="166"/>
      <c r="AF16" s="166"/>
      <c r="AH16" s="166"/>
      <c r="AI16" s="166"/>
      <c r="AJ16" s="166"/>
    </row>
    <row r="17" spans="1:36" s="146" customFormat="1" ht="30" customHeight="1" x14ac:dyDescent="0.3">
      <c r="A17" s="141" t="s">
        <v>5</v>
      </c>
      <c r="B17" s="338"/>
      <c r="C17" s="143"/>
      <c r="D17" s="144">
        <v>47053</v>
      </c>
      <c r="E17" s="144">
        <v>28207</v>
      </c>
      <c r="F17" s="144">
        <v>18846</v>
      </c>
      <c r="G17" s="339"/>
      <c r="H17" s="144">
        <v>48609</v>
      </c>
      <c r="I17" s="144">
        <v>29027</v>
      </c>
      <c r="J17" s="144">
        <v>19582</v>
      </c>
      <c r="K17" s="339"/>
      <c r="L17" s="144">
        <f>50550+2457</f>
        <v>53007</v>
      </c>
      <c r="M17" s="144">
        <f>29812+1614</f>
        <v>31426</v>
      </c>
      <c r="N17" s="144">
        <f>20738+843</f>
        <v>21581</v>
      </c>
      <c r="V17" s="171"/>
      <c r="W17" s="171"/>
      <c r="X17" s="171"/>
      <c r="Y17" s="340"/>
      <c r="Z17" s="171"/>
      <c r="AA17" s="171"/>
      <c r="AB17" s="171"/>
      <c r="AD17" s="171"/>
      <c r="AE17" s="171"/>
      <c r="AF17" s="171"/>
      <c r="AH17" s="171"/>
      <c r="AI17" s="171"/>
      <c r="AJ17" s="171"/>
    </row>
    <row r="18" spans="1:36" ht="30" customHeight="1" x14ac:dyDescent="0.3">
      <c r="A18" s="148" t="s">
        <v>6</v>
      </c>
      <c r="B18" s="341"/>
      <c r="C18" s="135"/>
      <c r="D18" s="139">
        <v>46044</v>
      </c>
      <c r="E18" s="139">
        <v>25870</v>
      </c>
      <c r="F18" s="139">
        <v>20174</v>
      </c>
      <c r="G18" s="342"/>
      <c r="H18" s="139">
        <v>47149</v>
      </c>
      <c r="I18" s="139">
        <v>26379</v>
      </c>
      <c r="J18" s="139">
        <v>20770</v>
      </c>
      <c r="K18" s="342"/>
      <c r="L18" s="139">
        <f>48927+1277</f>
        <v>50204</v>
      </c>
      <c r="M18" s="139">
        <f>27271+926</f>
        <v>28197</v>
      </c>
      <c r="N18" s="139">
        <f>21656+351</f>
        <v>22007</v>
      </c>
      <c r="V18" s="166"/>
      <c r="W18" s="166"/>
      <c r="X18" s="166"/>
      <c r="Y18" s="336"/>
      <c r="Z18" s="166"/>
      <c r="AA18" s="166"/>
      <c r="AB18" s="166"/>
      <c r="AD18" s="166"/>
      <c r="AE18" s="166"/>
      <c r="AF18" s="166"/>
      <c r="AH18" s="166"/>
      <c r="AI18" s="166"/>
      <c r="AJ18" s="166"/>
    </row>
    <row r="19" spans="1:36" s="146" customFormat="1" ht="30" customHeight="1" x14ac:dyDescent="0.3">
      <c r="A19" s="141" t="s">
        <v>7</v>
      </c>
      <c r="B19" s="338"/>
      <c r="C19" s="143"/>
      <c r="D19" s="144">
        <v>87287</v>
      </c>
      <c r="E19" s="144">
        <v>50999</v>
      </c>
      <c r="F19" s="144">
        <v>36288</v>
      </c>
      <c r="G19" s="339"/>
      <c r="H19" s="144">
        <v>85951</v>
      </c>
      <c r="I19" s="144">
        <v>49392</v>
      </c>
      <c r="J19" s="144">
        <v>36559</v>
      </c>
      <c r="K19" s="339"/>
      <c r="L19" s="144">
        <f>89151+1528</f>
        <v>90679</v>
      </c>
      <c r="M19" s="144">
        <f>50102+1070</f>
        <v>51172</v>
      </c>
      <c r="N19" s="144">
        <f>39049+458</f>
        <v>39507</v>
      </c>
      <c r="V19" s="171"/>
      <c r="W19" s="171"/>
      <c r="X19" s="171"/>
      <c r="Y19" s="340"/>
      <c r="Z19" s="171"/>
      <c r="AA19" s="171"/>
      <c r="AB19" s="171"/>
      <c r="AD19" s="171"/>
      <c r="AE19" s="171"/>
      <c r="AF19" s="171"/>
      <c r="AH19" s="171"/>
      <c r="AI19" s="171"/>
      <c r="AJ19" s="171"/>
    </row>
    <row r="20" spans="1:36" ht="30" customHeight="1" x14ac:dyDescent="0.3">
      <c r="A20" s="148" t="s">
        <v>8</v>
      </c>
      <c r="B20" s="341"/>
      <c r="C20" s="135"/>
      <c r="D20" s="139">
        <v>25715</v>
      </c>
      <c r="E20" s="139">
        <v>13374</v>
      </c>
      <c r="F20" s="139">
        <v>12341</v>
      </c>
      <c r="G20" s="342"/>
      <c r="H20" s="139">
        <v>24747</v>
      </c>
      <c r="I20" s="139">
        <v>12752</v>
      </c>
      <c r="J20" s="139">
        <v>11995</v>
      </c>
      <c r="K20" s="342"/>
      <c r="L20" s="139">
        <f>24829+1342</f>
        <v>26171</v>
      </c>
      <c r="M20" s="139">
        <f>12566+905</f>
        <v>13471</v>
      </c>
      <c r="N20" s="139">
        <f>12263+437</f>
        <v>12700</v>
      </c>
      <c r="V20" s="166"/>
      <c r="W20" s="166"/>
      <c r="X20" s="166"/>
      <c r="Y20" s="336"/>
      <c r="Z20" s="166"/>
      <c r="AA20" s="166"/>
      <c r="AB20" s="166"/>
      <c r="AD20" s="166"/>
      <c r="AE20" s="166"/>
      <c r="AF20" s="166"/>
      <c r="AH20" s="166"/>
      <c r="AI20" s="166"/>
      <c r="AJ20" s="166"/>
    </row>
    <row r="21" spans="1:36" s="146" customFormat="1" ht="30" customHeight="1" x14ac:dyDescent="0.3">
      <c r="A21" s="141" t="s">
        <v>9</v>
      </c>
      <c r="B21" s="338"/>
      <c r="C21" s="143"/>
      <c r="D21" s="144">
        <v>62734</v>
      </c>
      <c r="E21" s="144">
        <v>35072</v>
      </c>
      <c r="F21" s="144">
        <v>27662</v>
      </c>
      <c r="G21" s="339"/>
      <c r="H21" s="144">
        <v>62495</v>
      </c>
      <c r="I21" s="144">
        <v>34942</v>
      </c>
      <c r="J21" s="144">
        <v>27553</v>
      </c>
      <c r="K21" s="339"/>
      <c r="L21" s="144">
        <f>62981+1978</f>
        <v>64959</v>
      </c>
      <c r="M21" s="144">
        <f>35004+1365</f>
        <v>36369</v>
      </c>
      <c r="N21" s="144">
        <f>27977+613</f>
        <v>28590</v>
      </c>
      <c r="V21" s="171"/>
      <c r="W21" s="171"/>
      <c r="X21" s="171"/>
      <c r="Y21" s="340"/>
      <c r="Z21" s="171"/>
      <c r="AA21" s="171"/>
      <c r="AB21" s="171"/>
      <c r="AD21" s="171"/>
      <c r="AE21" s="171"/>
      <c r="AF21" s="171"/>
      <c r="AH21" s="171"/>
      <c r="AI21" s="171"/>
      <c r="AJ21" s="171"/>
    </row>
    <row r="22" spans="1:36" ht="30" customHeight="1" x14ac:dyDescent="0.3">
      <c r="A22" s="148" t="s">
        <v>213</v>
      </c>
      <c r="B22" s="341"/>
      <c r="C22" s="135"/>
      <c r="D22" s="139">
        <v>39600</v>
      </c>
      <c r="E22" s="139">
        <v>24450</v>
      </c>
      <c r="F22" s="139">
        <v>15150</v>
      </c>
      <c r="G22" s="342"/>
      <c r="H22" s="139">
        <v>39993</v>
      </c>
      <c r="I22" s="139">
        <v>24746</v>
      </c>
      <c r="J22" s="139">
        <v>15247</v>
      </c>
      <c r="K22" s="342"/>
      <c r="L22" s="139">
        <f>41165+3709</f>
        <v>44874</v>
      </c>
      <c r="M22" s="139">
        <f>25161+2478</f>
        <v>27639</v>
      </c>
      <c r="N22" s="139">
        <f>16004+1231</f>
        <v>17235</v>
      </c>
      <c r="V22" s="166"/>
      <c r="W22" s="166"/>
      <c r="X22" s="166"/>
      <c r="Y22" s="336"/>
      <c r="Z22" s="166"/>
      <c r="AA22" s="166"/>
      <c r="AB22" s="166"/>
      <c r="AD22" s="166"/>
      <c r="AE22" s="166"/>
      <c r="AF22" s="166"/>
      <c r="AH22" s="166"/>
      <c r="AI22" s="166"/>
      <c r="AJ22" s="166"/>
    </row>
    <row r="23" spans="1:36" s="146" customFormat="1" ht="30" customHeight="1" x14ac:dyDescent="0.3">
      <c r="A23" s="141" t="s">
        <v>11</v>
      </c>
      <c r="B23" s="338"/>
      <c r="C23" s="143"/>
      <c r="D23" s="144">
        <v>49238</v>
      </c>
      <c r="E23" s="144">
        <v>28576</v>
      </c>
      <c r="F23" s="144">
        <v>20662</v>
      </c>
      <c r="G23" s="339"/>
      <c r="H23" s="144">
        <v>50644</v>
      </c>
      <c r="I23" s="144">
        <v>29360</v>
      </c>
      <c r="J23" s="144">
        <v>21284</v>
      </c>
      <c r="K23" s="339"/>
      <c r="L23" s="144">
        <f>54660+3234</f>
        <v>57894</v>
      </c>
      <c r="M23" s="144">
        <f>31696+2232</f>
        <v>33928</v>
      </c>
      <c r="N23" s="144">
        <f>22964+1002</f>
        <v>23966</v>
      </c>
      <c r="V23" s="171"/>
      <c r="W23" s="171"/>
      <c r="X23" s="171"/>
      <c r="Y23" s="340"/>
      <c r="Z23" s="171"/>
      <c r="AA23" s="171"/>
      <c r="AB23" s="171"/>
      <c r="AD23" s="171"/>
      <c r="AE23" s="171"/>
      <c r="AF23" s="171"/>
      <c r="AH23" s="171"/>
      <c r="AI23" s="171"/>
      <c r="AJ23" s="171"/>
    </row>
    <row r="24" spans="1:36" ht="30" customHeight="1" x14ac:dyDescent="0.3">
      <c r="A24" s="148" t="s">
        <v>12</v>
      </c>
      <c r="B24" s="341"/>
      <c r="C24" s="135"/>
      <c r="D24" s="139">
        <v>397366</v>
      </c>
      <c r="E24" s="139">
        <v>227035</v>
      </c>
      <c r="F24" s="139">
        <v>170331</v>
      </c>
      <c r="G24" s="342"/>
      <c r="H24" s="139">
        <v>430159</v>
      </c>
      <c r="I24" s="139">
        <v>245195</v>
      </c>
      <c r="J24" s="139">
        <v>184964</v>
      </c>
      <c r="K24" s="342"/>
      <c r="L24" s="139">
        <f>492903+1651</f>
        <v>494554</v>
      </c>
      <c r="M24" s="139">
        <f>281107+1106</f>
        <v>282213</v>
      </c>
      <c r="N24" s="139">
        <f>211796+545</f>
        <v>212341</v>
      </c>
      <c r="V24" s="166"/>
      <c r="W24" s="166"/>
      <c r="X24" s="166"/>
      <c r="Y24" s="336"/>
      <c r="Z24" s="166"/>
      <c r="AA24" s="166"/>
      <c r="AB24" s="166"/>
      <c r="AD24" s="166"/>
      <c r="AE24" s="166"/>
      <c r="AF24" s="166"/>
      <c r="AH24" s="166"/>
      <c r="AI24" s="166"/>
      <c r="AJ24" s="166"/>
    </row>
    <row r="25" spans="1:36" s="146" customFormat="1" ht="30" customHeight="1" x14ac:dyDescent="0.3">
      <c r="A25" s="141" t="s">
        <v>13</v>
      </c>
      <c r="B25" s="338"/>
      <c r="C25" s="143"/>
      <c r="D25" s="144">
        <v>43366</v>
      </c>
      <c r="E25" s="144">
        <v>26470</v>
      </c>
      <c r="F25" s="144">
        <v>16896</v>
      </c>
      <c r="G25" s="339"/>
      <c r="H25" s="144">
        <v>44095</v>
      </c>
      <c r="I25" s="144">
        <v>26788</v>
      </c>
      <c r="J25" s="144">
        <v>17307</v>
      </c>
      <c r="K25" s="339"/>
      <c r="L25" s="144">
        <f>43808+2328</f>
        <v>46136</v>
      </c>
      <c r="M25" s="144">
        <f>26203+1617</f>
        <v>27820</v>
      </c>
      <c r="N25" s="144">
        <f>17605+711</f>
        <v>18316</v>
      </c>
      <c r="V25" s="171"/>
      <c r="W25" s="171"/>
      <c r="X25" s="171"/>
      <c r="Y25" s="340"/>
      <c r="Z25" s="171"/>
      <c r="AA25" s="171"/>
      <c r="AB25" s="171"/>
      <c r="AD25" s="171"/>
      <c r="AE25" s="171"/>
      <c r="AF25" s="171"/>
      <c r="AH25" s="171"/>
      <c r="AI25" s="171"/>
      <c r="AJ25" s="171"/>
    </row>
    <row r="26" spans="1:36" ht="30" customHeight="1" x14ac:dyDescent="0.3">
      <c r="A26" s="148" t="s">
        <v>14</v>
      </c>
      <c r="B26" s="341"/>
      <c r="C26" s="135"/>
      <c r="D26" s="139">
        <v>168195</v>
      </c>
      <c r="E26" s="139">
        <v>90587</v>
      </c>
      <c r="F26" s="139">
        <v>77608</v>
      </c>
      <c r="G26" s="342"/>
      <c r="H26" s="139">
        <v>173685</v>
      </c>
      <c r="I26" s="139">
        <v>93473</v>
      </c>
      <c r="J26" s="139">
        <v>80212</v>
      </c>
      <c r="K26" s="342"/>
      <c r="L26" s="139">
        <f>192793+4186</f>
        <v>196979</v>
      </c>
      <c r="M26" s="139">
        <f>102894+2940</f>
        <v>105834</v>
      </c>
      <c r="N26" s="139">
        <f>89899+1246</f>
        <v>91145</v>
      </c>
      <c r="V26" s="166"/>
      <c r="W26" s="166"/>
      <c r="X26" s="166"/>
      <c r="Y26" s="336"/>
      <c r="Z26" s="166"/>
      <c r="AA26" s="166"/>
      <c r="AB26" s="166"/>
      <c r="AD26" s="166"/>
      <c r="AE26" s="166"/>
      <c r="AF26" s="166"/>
      <c r="AH26" s="166"/>
      <c r="AI26" s="166"/>
      <c r="AJ26" s="166"/>
    </row>
    <row r="27" spans="1:36" s="146" customFormat="1" ht="30" customHeight="1" x14ac:dyDescent="0.3">
      <c r="A27" s="141" t="s">
        <v>15</v>
      </c>
      <c r="B27" s="338"/>
      <c r="C27" s="143"/>
      <c r="D27" s="144">
        <v>1744</v>
      </c>
      <c r="E27" s="144">
        <v>1160</v>
      </c>
      <c r="F27" s="144">
        <v>584</v>
      </c>
      <c r="G27" s="343"/>
      <c r="H27" s="144">
        <v>1880</v>
      </c>
      <c r="I27" s="144">
        <v>1263</v>
      </c>
      <c r="J27" s="144">
        <v>617</v>
      </c>
      <c r="K27" s="343"/>
      <c r="L27" s="144">
        <v>1995</v>
      </c>
      <c r="M27" s="144">
        <v>1332</v>
      </c>
      <c r="N27" s="144">
        <v>663</v>
      </c>
      <c r="V27" s="171"/>
      <c r="W27" s="171"/>
      <c r="X27" s="171"/>
      <c r="Y27" s="340"/>
      <c r="Z27" s="171"/>
      <c r="AA27" s="171"/>
      <c r="AB27" s="171"/>
      <c r="AD27" s="171"/>
      <c r="AE27" s="171"/>
      <c r="AF27" s="171"/>
      <c r="AH27" s="171"/>
      <c r="AI27" s="171"/>
      <c r="AJ27" s="171"/>
    </row>
    <row r="28" spans="1:36" ht="30" customHeight="1" x14ac:dyDescent="0.3">
      <c r="A28" s="148" t="s">
        <v>16</v>
      </c>
      <c r="B28" s="149"/>
      <c r="C28" s="135"/>
      <c r="D28" s="139">
        <v>1786</v>
      </c>
      <c r="E28" s="139">
        <v>808</v>
      </c>
      <c r="F28" s="139">
        <v>978</v>
      </c>
      <c r="G28" s="344"/>
      <c r="H28" s="139">
        <v>1818</v>
      </c>
      <c r="I28" s="139">
        <v>782</v>
      </c>
      <c r="J28" s="139">
        <v>1036</v>
      </c>
      <c r="K28" s="344"/>
      <c r="L28" s="139">
        <v>1694</v>
      </c>
      <c r="M28" s="139">
        <v>719</v>
      </c>
      <c r="N28" s="139">
        <v>975</v>
      </c>
      <c r="V28" s="166"/>
      <c r="W28" s="166"/>
      <c r="X28" s="166"/>
      <c r="Y28" s="336"/>
      <c r="Z28" s="166"/>
      <c r="AA28" s="166"/>
      <c r="AB28" s="166"/>
      <c r="AD28" s="166"/>
      <c r="AE28" s="166"/>
      <c r="AF28" s="166"/>
      <c r="AH28" s="166"/>
      <c r="AI28" s="166"/>
      <c r="AJ28" s="166"/>
    </row>
    <row r="29" spans="1:36" ht="18.75" customHeight="1" thickBot="1" x14ac:dyDescent="0.35">
      <c r="A29" s="152"/>
      <c r="B29" s="152"/>
      <c r="C29" s="153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Z29" s="166"/>
      <c r="AA29" s="166"/>
      <c r="AB29" s="166"/>
      <c r="AD29" s="166"/>
      <c r="AE29" s="166"/>
      <c r="AF29" s="166"/>
      <c r="AH29" s="166"/>
      <c r="AI29" s="166"/>
      <c r="AJ29" s="166"/>
    </row>
    <row r="30" spans="1:36" ht="18.75" customHeight="1" x14ac:dyDescent="0.3">
      <c r="A30" s="61"/>
      <c r="B30" s="61"/>
      <c r="C30" s="61"/>
      <c r="D30" s="61"/>
      <c r="E30" s="61"/>
      <c r="F30" s="58"/>
      <c r="G30" s="59"/>
      <c r="H30" s="61"/>
      <c r="I30" s="156"/>
      <c r="J30" s="55"/>
      <c r="K30" s="59"/>
      <c r="L30" s="61"/>
      <c r="M30" s="156"/>
      <c r="N30" s="55" t="s">
        <v>173</v>
      </c>
    </row>
    <row r="31" spans="1:36" ht="18.75" customHeight="1" x14ac:dyDescent="0.3">
      <c r="A31" s="63"/>
      <c r="B31" s="345"/>
      <c r="C31" s="345"/>
      <c r="D31" s="345"/>
      <c r="E31" s="345"/>
      <c r="F31" s="58"/>
      <c r="G31" s="59"/>
      <c r="H31" s="345"/>
      <c r="I31" s="156"/>
      <c r="J31" s="2"/>
      <c r="K31" s="59"/>
      <c r="L31" s="345"/>
      <c r="M31" s="156"/>
      <c r="N31" s="421" t="s">
        <v>148</v>
      </c>
    </row>
    <row r="32" spans="1:36" ht="18.75" customHeight="1" x14ac:dyDescent="0.3">
      <c r="A32" s="63" t="s">
        <v>241</v>
      </c>
      <c r="B32" s="345"/>
      <c r="C32" s="345"/>
      <c r="D32" s="345"/>
      <c r="E32" s="345"/>
      <c r="F32" s="58"/>
      <c r="G32" s="59"/>
      <c r="H32" s="345"/>
      <c r="I32" s="156"/>
      <c r="J32" s="2"/>
      <c r="K32" s="59"/>
      <c r="L32" s="345"/>
      <c r="M32" s="156"/>
      <c r="N32" s="421"/>
    </row>
    <row r="33" spans="1:14" ht="37.5" customHeight="1" x14ac:dyDescent="0.3">
      <c r="A33" s="532" t="s">
        <v>280</v>
      </c>
      <c r="B33" s="532"/>
      <c r="C33" s="532"/>
      <c r="D33" s="532"/>
      <c r="E33" s="532"/>
      <c r="F33" s="532"/>
      <c r="G33" s="532"/>
      <c r="H33" s="532"/>
      <c r="I33" s="532"/>
      <c r="J33" s="532"/>
      <c r="K33" s="532"/>
      <c r="L33" s="532"/>
      <c r="M33" s="532"/>
      <c r="N33" s="532"/>
    </row>
    <row r="34" spans="1:14" ht="37.5" customHeight="1" x14ac:dyDescent="0.3">
      <c r="A34" s="533" t="s">
        <v>281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3"/>
    </row>
    <row r="35" spans="1:14" x14ac:dyDescent="0.3">
      <c r="A35" s="179"/>
      <c r="B35" s="178"/>
      <c r="C35" s="178"/>
      <c r="D35" s="178"/>
      <c r="E35" s="178"/>
      <c r="H35" s="178"/>
      <c r="L35" s="178"/>
    </row>
    <row r="36" spans="1:14" x14ac:dyDescent="0.3">
      <c r="A36" s="11"/>
      <c r="B36" s="11"/>
      <c r="C36" s="11"/>
      <c r="D36" s="11"/>
      <c r="E36" s="11"/>
      <c r="H36" s="11"/>
      <c r="L36" s="11"/>
    </row>
  </sheetData>
  <mergeCells count="10">
    <mergeCell ref="A33:N33"/>
    <mergeCell ref="A34:N34"/>
    <mergeCell ref="C2:N2"/>
    <mergeCell ref="A5:A8"/>
    <mergeCell ref="D5:F5"/>
    <mergeCell ref="L5:N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tabColor rgb="FFEE6EE8"/>
  </sheetPr>
  <dimension ref="A1:Z33"/>
  <sheetViews>
    <sheetView tabSelected="1" view="pageBreakPreview" topLeftCell="A22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17" width="12.42578125" style="16"/>
    <col min="18" max="18" width="7" style="16" customWidth="1"/>
    <col min="19" max="19" width="12.42578125" style="16"/>
    <col min="20" max="20" width="6.7109375" style="16" customWidth="1"/>
    <col min="21" max="16384" width="12.42578125" style="16"/>
  </cols>
  <sheetData>
    <row r="1" spans="1:26" s="71" customFormat="1" ht="18.75" customHeight="1" x14ac:dyDescent="0.3">
      <c r="A1" s="118" t="s">
        <v>96</v>
      </c>
      <c r="B1" s="118" t="s">
        <v>80</v>
      </c>
      <c r="C1" s="524" t="s">
        <v>187</v>
      </c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26" s="427" customFormat="1" ht="18.75" customHeight="1" x14ac:dyDescent="0.3">
      <c r="A2" s="426" t="s">
        <v>95</v>
      </c>
      <c r="B2" s="426" t="s">
        <v>80</v>
      </c>
      <c r="C2" s="426" t="s">
        <v>188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26" s="57" customFormat="1" ht="11.25" customHeight="1" thickBot="1" x14ac:dyDescent="0.35">
      <c r="I3" s="119"/>
      <c r="J3" s="120"/>
      <c r="M3" s="119"/>
      <c r="N3" s="120"/>
    </row>
    <row r="4" spans="1:26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26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26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328"/>
      <c r="M6" s="328"/>
      <c r="N6" s="328"/>
    </row>
    <row r="7" spans="1:26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528"/>
      <c r="M7" s="528"/>
      <c r="N7" s="528"/>
    </row>
    <row r="8" spans="1:26" s="253" customFormat="1" ht="37.5" customHeight="1" x14ac:dyDescent="0.3">
      <c r="A8" s="526"/>
      <c r="B8" s="129"/>
      <c r="C8" s="126"/>
      <c r="D8" s="77" t="s">
        <v>268</v>
      </c>
      <c r="E8" s="77" t="s">
        <v>269</v>
      </c>
      <c r="F8" s="77" t="s">
        <v>270</v>
      </c>
      <c r="G8" s="77"/>
      <c r="H8" s="77" t="s">
        <v>268</v>
      </c>
      <c r="I8" s="77" t="s">
        <v>269</v>
      </c>
      <c r="J8" s="77" t="s">
        <v>270</v>
      </c>
      <c r="K8" s="77"/>
      <c r="L8" s="77" t="s">
        <v>268</v>
      </c>
      <c r="M8" s="77" t="s">
        <v>269</v>
      </c>
      <c r="N8" s="77" t="s">
        <v>270</v>
      </c>
    </row>
    <row r="9" spans="1:26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26" ht="18.75" customHeight="1" x14ac:dyDescent="0.3">
      <c r="A10" s="133"/>
      <c r="B10" s="133"/>
      <c r="C10" s="57"/>
      <c r="D10" s="57"/>
      <c r="E10" s="133"/>
      <c r="F10" s="120"/>
      <c r="G10" s="57"/>
      <c r="H10" s="57"/>
      <c r="K10" s="57"/>
      <c r="L10" s="57"/>
    </row>
    <row r="11" spans="1:26" ht="30" customHeight="1" x14ac:dyDescent="0.3">
      <c r="A11" s="134" t="s">
        <v>0</v>
      </c>
      <c r="B11" s="134"/>
      <c r="C11" s="135"/>
      <c r="D11" s="296">
        <v>88.76</v>
      </c>
      <c r="E11" s="296">
        <v>90.83</v>
      </c>
      <c r="F11" s="296">
        <v>86.81</v>
      </c>
      <c r="G11" s="296"/>
      <c r="H11" s="296">
        <v>88.302191245326696</v>
      </c>
      <c r="I11" s="296">
        <v>89.110309502069768</v>
      </c>
      <c r="J11" s="296">
        <v>87.543759198558206</v>
      </c>
      <c r="K11" s="296"/>
      <c r="L11" s="296">
        <v>93.318763784493868</v>
      </c>
      <c r="M11" s="296">
        <v>89.280280038912778</v>
      </c>
      <c r="N11" s="296">
        <v>97.094098809190683</v>
      </c>
      <c r="R11" s="298"/>
      <c r="S11" s="298"/>
      <c r="T11" s="298"/>
      <c r="X11" s="298"/>
      <c r="Y11" s="298"/>
      <c r="Z11" s="298"/>
    </row>
    <row r="12" spans="1:26" ht="18.75" customHeight="1" x14ac:dyDescent="0.3">
      <c r="A12" s="320"/>
      <c r="B12" s="320"/>
      <c r="C12" s="135"/>
      <c r="D12" s="299"/>
      <c r="E12" s="299"/>
      <c r="F12" s="299"/>
      <c r="G12" s="334"/>
      <c r="H12" s="299"/>
      <c r="I12" s="299"/>
      <c r="J12" s="299"/>
      <c r="K12" s="334"/>
      <c r="L12" s="299"/>
      <c r="M12" s="299"/>
      <c r="N12" s="299"/>
    </row>
    <row r="13" spans="1:26" s="146" customFormat="1" ht="30" customHeight="1" x14ac:dyDescent="0.3">
      <c r="A13" s="141" t="s">
        <v>1</v>
      </c>
      <c r="B13" s="142"/>
      <c r="C13" s="143"/>
      <c r="D13" s="301">
        <v>91.43</v>
      </c>
      <c r="E13" s="301">
        <v>92.94</v>
      </c>
      <c r="F13" s="301">
        <v>90.01</v>
      </c>
      <c r="G13" s="301"/>
      <c r="H13" s="301">
        <v>91.002723446397624</v>
      </c>
      <c r="I13" s="301">
        <v>91.720312285988228</v>
      </c>
      <c r="J13" s="301">
        <v>90.334916031993885</v>
      </c>
      <c r="K13" s="301"/>
      <c r="L13" s="301">
        <v>94.75533705084635</v>
      </c>
      <c r="M13" s="301">
        <v>92.5021407775304</v>
      </c>
      <c r="N13" s="301">
        <v>96.84904038957319</v>
      </c>
      <c r="R13" s="303"/>
      <c r="S13" s="303"/>
      <c r="T13" s="303"/>
      <c r="X13" s="303"/>
      <c r="Y13" s="303"/>
      <c r="Z13" s="303"/>
    </row>
    <row r="14" spans="1:26" ht="30" customHeight="1" x14ac:dyDescent="0.3">
      <c r="A14" s="148" t="s">
        <v>2</v>
      </c>
      <c r="B14" s="149"/>
      <c r="C14" s="135"/>
      <c r="D14" s="299">
        <v>91.21</v>
      </c>
      <c r="E14" s="299">
        <v>93.51</v>
      </c>
      <c r="F14" s="299">
        <v>89.03</v>
      </c>
      <c r="G14" s="299"/>
      <c r="H14" s="299">
        <v>86.955686123771343</v>
      </c>
      <c r="I14" s="299">
        <v>88.037106596095839</v>
      </c>
      <c r="J14" s="299">
        <v>85.947695082488991</v>
      </c>
      <c r="K14" s="299"/>
      <c r="L14" s="299">
        <v>95.739150090415919</v>
      </c>
      <c r="M14" s="299">
        <v>89.325447944724203</v>
      </c>
      <c r="N14" s="299">
        <v>101.71999563175713</v>
      </c>
      <c r="R14" s="298"/>
      <c r="S14" s="298"/>
      <c r="T14" s="298"/>
      <c r="X14" s="298"/>
      <c r="Y14" s="298"/>
      <c r="Z14" s="298"/>
    </row>
    <row r="15" spans="1:26" s="146" customFormat="1" ht="30" customHeight="1" x14ac:dyDescent="0.3">
      <c r="A15" s="141" t="s">
        <v>3</v>
      </c>
      <c r="B15" s="150"/>
      <c r="C15" s="143"/>
      <c r="D15" s="301">
        <v>78.09</v>
      </c>
      <c r="E15" s="301">
        <v>80.63</v>
      </c>
      <c r="F15" s="301">
        <v>75.680000000000007</v>
      </c>
      <c r="G15" s="301"/>
      <c r="H15" s="301">
        <v>73.743002347599514</v>
      </c>
      <c r="I15" s="301">
        <v>74.526951820639212</v>
      </c>
      <c r="J15" s="301">
        <v>72.999597909127473</v>
      </c>
      <c r="K15" s="301"/>
      <c r="L15" s="301">
        <v>81.981437172981359</v>
      </c>
      <c r="M15" s="301">
        <v>76.170119478241801</v>
      </c>
      <c r="N15" s="301">
        <v>87.340172840754022</v>
      </c>
      <c r="R15" s="303"/>
      <c r="S15" s="303"/>
      <c r="T15" s="303"/>
      <c r="X15" s="303"/>
      <c r="Y15" s="303"/>
      <c r="Z15" s="303"/>
    </row>
    <row r="16" spans="1:26" ht="30" customHeight="1" x14ac:dyDescent="0.3">
      <c r="A16" s="148" t="s">
        <v>4</v>
      </c>
      <c r="B16" s="149"/>
      <c r="C16" s="135"/>
      <c r="D16" s="299">
        <v>107.63</v>
      </c>
      <c r="E16" s="299">
        <v>110.51</v>
      </c>
      <c r="F16" s="299">
        <v>104.96</v>
      </c>
      <c r="G16" s="299"/>
      <c r="H16" s="299">
        <v>113.47433293648015</v>
      </c>
      <c r="I16" s="299">
        <v>115.1523947750363</v>
      </c>
      <c r="J16" s="299">
        <v>111.9095953444309</v>
      </c>
      <c r="K16" s="299"/>
      <c r="L16" s="299">
        <v>119.98317796313169</v>
      </c>
      <c r="M16" s="299">
        <v>114.54414931801867</v>
      </c>
      <c r="N16" s="299">
        <v>125.1711859764448</v>
      </c>
      <c r="R16" s="298"/>
      <c r="S16" s="298"/>
      <c r="T16" s="298"/>
      <c r="X16" s="298"/>
      <c r="Y16" s="298"/>
      <c r="Z16" s="298"/>
    </row>
    <row r="17" spans="1:26" s="146" customFormat="1" ht="30" customHeight="1" x14ac:dyDescent="0.3">
      <c r="A17" s="141" t="s">
        <v>5</v>
      </c>
      <c r="B17" s="150"/>
      <c r="C17" s="143"/>
      <c r="D17" s="301">
        <v>104.24</v>
      </c>
      <c r="E17" s="301">
        <v>106.05</v>
      </c>
      <c r="F17" s="301">
        <v>102.57</v>
      </c>
      <c r="G17" s="301"/>
      <c r="H17" s="301">
        <v>101.68062534896704</v>
      </c>
      <c r="I17" s="301">
        <v>101.70533642691414</v>
      </c>
      <c r="J17" s="301">
        <v>101.65769644779333</v>
      </c>
      <c r="K17" s="301"/>
      <c r="L17" s="301">
        <v>102.95522719697811</v>
      </c>
      <c r="M17" s="301">
        <v>99.429874572405936</v>
      </c>
      <c r="N17" s="301">
        <v>106.30415944540728</v>
      </c>
      <c r="R17" s="303"/>
      <c r="S17" s="303"/>
      <c r="T17" s="303"/>
      <c r="X17" s="303"/>
      <c r="Y17" s="303"/>
      <c r="Z17" s="303"/>
    </row>
    <row r="18" spans="1:26" ht="30" customHeight="1" x14ac:dyDescent="0.3">
      <c r="A18" s="148" t="s">
        <v>6</v>
      </c>
      <c r="B18" s="149"/>
      <c r="C18" s="135"/>
      <c r="D18" s="299">
        <v>101.93</v>
      </c>
      <c r="E18" s="299">
        <v>104.95</v>
      </c>
      <c r="F18" s="299">
        <v>99.1</v>
      </c>
      <c r="G18" s="299"/>
      <c r="H18" s="299">
        <v>94.71949611835359</v>
      </c>
      <c r="I18" s="299">
        <v>95.442620493216396</v>
      </c>
      <c r="J18" s="299">
        <v>94.028782129304787</v>
      </c>
      <c r="K18" s="299"/>
      <c r="L18" s="299">
        <v>101.3256656335188</v>
      </c>
      <c r="M18" s="299">
        <v>96.563944530046214</v>
      </c>
      <c r="N18" s="299">
        <v>105.80476846148272</v>
      </c>
      <c r="R18" s="298"/>
      <c r="S18" s="298"/>
      <c r="T18" s="298"/>
      <c r="X18" s="298"/>
      <c r="Y18" s="298"/>
      <c r="Z18" s="298"/>
    </row>
    <row r="19" spans="1:26" s="146" customFormat="1" ht="30" customHeight="1" x14ac:dyDescent="0.3">
      <c r="A19" s="141" t="s">
        <v>7</v>
      </c>
      <c r="B19" s="150"/>
      <c r="C19" s="143"/>
      <c r="D19" s="301">
        <v>94.34</v>
      </c>
      <c r="E19" s="301">
        <v>97.17</v>
      </c>
      <c r="F19" s="301">
        <v>91.7</v>
      </c>
      <c r="G19" s="301"/>
      <c r="H19" s="301">
        <v>89.251700680272108</v>
      </c>
      <c r="I19" s="301">
        <v>90.757105326009082</v>
      </c>
      <c r="J19" s="301">
        <v>87.835028375568911</v>
      </c>
      <c r="K19" s="301"/>
      <c r="L19" s="301">
        <v>94.555677862731685</v>
      </c>
      <c r="M19" s="301">
        <v>90.710382513661202</v>
      </c>
      <c r="N19" s="301">
        <v>98.170379776059107</v>
      </c>
      <c r="R19" s="303"/>
      <c r="S19" s="303"/>
      <c r="T19" s="303"/>
      <c r="X19" s="303"/>
      <c r="Y19" s="303"/>
      <c r="Z19" s="303"/>
    </row>
    <row r="20" spans="1:26" ht="30" customHeight="1" x14ac:dyDescent="0.3">
      <c r="A20" s="148" t="s">
        <v>8</v>
      </c>
      <c r="B20" s="149"/>
      <c r="C20" s="135"/>
      <c r="D20" s="299">
        <v>108.13</v>
      </c>
      <c r="E20" s="299">
        <v>112.07</v>
      </c>
      <c r="F20" s="299">
        <v>104.58</v>
      </c>
      <c r="G20" s="299"/>
      <c r="H20" s="299">
        <v>99.728014505893015</v>
      </c>
      <c r="I20" s="299">
        <v>99.37649880095924</v>
      </c>
      <c r="J20" s="299">
        <v>100.04297378599054</v>
      </c>
      <c r="K20" s="299"/>
      <c r="L20" s="299">
        <v>102.77585010409437</v>
      </c>
      <c r="M20" s="299">
        <v>97.085523172479697</v>
      </c>
      <c r="N20" s="299">
        <v>108.11659192825111</v>
      </c>
      <c r="R20" s="298"/>
      <c r="S20" s="298"/>
      <c r="T20" s="298"/>
      <c r="X20" s="298"/>
      <c r="Y20" s="298"/>
      <c r="Z20" s="298"/>
    </row>
    <row r="21" spans="1:26" s="146" customFormat="1" ht="30" customHeight="1" x14ac:dyDescent="0.3">
      <c r="A21" s="141" t="s">
        <v>9</v>
      </c>
      <c r="B21" s="150"/>
      <c r="C21" s="143"/>
      <c r="D21" s="301">
        <v>88.1</v>
      </c>
      <c r="E21" s="301">
        <v>89.98</v>
      </c>
      <c r="F21" s="301">
        <v>86.33</v>
      </c>
      <c r="G21" s="301"/>
      <c r="H21" s="301">
        <v>92.29831144465291</v>
      </c>
      <c r="I21" s="301">
        <v>88.883523276028583</v>
      </c>
      <c r="J21" s="301">
        <v>95.522524165602775</v>
      </c>
      <c r="K21" s="301"/>
      <c r="L21" s="301">
        <v>94.54280155642023</v>
      </c>
      <c r="M21" s="301">
        <v>91.340082189034774</v>
      </c>
      <c r="N21" s="301">
        <v>97.562127941037517</v>
      </c>
      <c r="R21" s="303"/>
      <c r="S21" s="303"/>
      <c r="T21" s="303"/>
      <c r="X21" s="303"/>
      <c r="Y21" s="303"/>
      <c r="Z21" s="303"/>
    </row>
    <row r="22" spans="1:26" ht="30" customHeight="1" x14ac:dyDescent="0.3">
      <c r="A22" s="148" t="s">
        <v>10</v>
      </c>
      <c r="B22" s="149"/>
      <c r="C22" s="135"/>
      <c r="D22" s="299">
        <v>79.02</v>
      </c>
      <c r="E22" s="299">
        <v>81.17</v>
      </c>
      <c r="F22" s="299">
        <v>77.010000000000005</v>
      </c>
      <c r="G22" s="299"/>
      <c r="H22" s="299">
        <v>84.43562525285607</v>
      </c>
      <c r="I22" s="299">
        <v>85.214487337494532</v>
      </c>
      <c r="J22" s="299">
        <v>83.703371458473498</v>
      </c>
      <c r="K22" s="299"/>
      <c r="L22" s="299">
        <v>90.502356285654315</v>
      </c>
      <c r="M22" s="299">
        <v>88.491038429440053</v>
      </c>
      <c r="N22" s="299">
        <v>92.359633027522932</v>
      </c>
      <c r="R22" s="298"/>
      <c r="S22" s="298"/>
      <c r="T22" s="298"/>
      <c r="X22" s="298"/>
      <c r="Y22" s="298"/>
      <c r="Z22" s="298"/>
    </row>
    <row r="23" spans="1:26" s="146" customFormat="1" ht="30" customHeight="1" x14ac:dyDescent="0.3">
      <c r="A23" s="141" t="s">
        <v>11</v>
      </c>
      <c r="B23" s="150"/>
      <c r="C23" s="143"/>
      <c r="D23" s="301">
        <v>104.55</v>
      </c>
      <c r="E23" s="301">
        <v>106.87</v>
      </c>
      <c r="F23" s="301">
        <v>102.38</v>
      </c>
      <c r="G23" s="301"/>
      <c r="H23" s="301">
        <v>100.40962758694548</v>
      </c>
      <c r="I23" s="301">
        <v>100.96768811523276</v>
      </c>
      <c r="J23" s="301">
        <v>99.89158492514197</v>
      </c>
      <c r="K23" s="301"/>
      <c r="L23" s="301">
        <v>93.705773837385379</v>
      </c>
      <c r="M23" s="301">
        <v>94.482288828337886</v>
      </c>
      <c r="N23" s="301">
        <v>92.974389135432816</v>
      </c>
      <c r="R23" s="303"/>
      <c r="S23" s="303"/>
      <c r="T23" s="303"/>
      <c r="X23" s="303"/>
      <c r="Y23" s="303"/>
      <c r="Z23" s="303"/>
    </row>
    <row r="24" spans="1:26" ht="30" customHeight="1" x14ac:dyDescent="0.3">
      <c r="A24" s="148" t="s">
        <v>12</v>
      </c>
      <c r="B24" s="149"/>
      <c r="C24" s="135"/>
      <c r="D24" s="299">
        <v>79.91</v>
      </c>
      <c r="E24" s="299">
        <v>81.55</v>
      </c>
      <c r="F24" s="299">
        <v>78.38</v>
      </c>
      <c r="G24" s="299"/>
      <c r="H24" s="299">
        <v>83.540453889443143</v>
      </c>
      <c r="I24" s="299">
        <v>84.846356100596111</v>
      </c>
      <c r="J24" s="299">
        <v>82.322438129469461</v>
      </c>
      <c r="K24" s="299"/>
      <c r="L24" s="299">
        <v>90.568364558360713</v>
      </c>
      <c r="M24" s="299">
        <v>85.463822839065202</v>
      </c>
      <c r="N24" s="299">
        <v>95.344307375014324</v>
      </c>
      <c r="R24" s="298"/>
      <c r="S24" s="298"/>
      <c r="T24" s="298"/>
      <c r="X24" s="298"/>
      <c r="Y24" s="298"/>
      <c r="Z24" s="298"/>
    </row>
    <row r="25" spans="1:26" s="146" customFormat="1" ht="30" customHeight="1" x14ac:dyDescent="0.3">
      <c r="A25" s="141" t="s">
        <v>13</v>
      </c>
      <c r="B25" s="150"/>
      <c r="C25" s="143"/>
      <c r="D25" s="301">
        <v>100.22</v>
      </c>
      <c r="E25" s="301">
        <v>102.14</v>
      </c>
      <c r="F25" s="301">
        <v>98.39</v>
      </c>
      <c r="G25" s="301"/>
      <c r="H25" s="301">
        <v>89.922396679299766</v>
      </c>
      <c r="I25" s="301">
        <v>90.096689129797838</v>
      </c>
      <c r="J25" s="301">
        <v>89.753077634668756</v>
      </c>
      <c r="K25" s="301"/>
      <c r="L25" s="301">
        <v>98.694814920476432</v>
      </c>
      <c r="M25" s="301">
        <v>89.004271615849177</v>
      </c>
      <c r="N25" s="301">
        <v>107.79175884955751</v>
      </c>
      <c r="R25" s="303"/>
      <c r="S25" s="303"/>
      <c r="T25" s="303"/>
      <c r="X25" s="303"/>
      <c r="Y25" s="303"/>
      <c r="Z25" s="303"/>
    </row>
    <row r="26" spans="1:26" ht="30" customHeight="1" x14ac:dyDescent="0.3">
      <c r="A26" s="148" t="s">
        <v>14</v>
      </c>
      <c r="B26" s="149"/>
      <c r="C26" s="135"/>
      <c r="D26" s="299">
        <v>65.23</v>
      </c>
      <c r="E26" s="299">
        <v>66.67</v>
      </c>
      <c r="F26" s="299">
        <v>63.87</v>
      </c>
      <c r="G26" s="299"/>
      <c r="H26" s="299">
        <v>70.833333333333343</v>
      </c>
      <c r="I26" s="299">
        <v>73.11142785277103</v>
      </c>
      <c r="J26" s="299">
        <v>68.681188118811889</v>
      </c>
      <c r="K26" s="299"/>
      <c r="L26" s="299">
        <v>74.479750778816197</v>
      </c>
      <c r="M26" s="299">
        <v>71.198767861726708</v>
      </c>
      <c r="N26" s="299">
        <v>77.575072650952535</v>
      </c>
      <c r="R26" s="298"/>
      <c r="S26" s="298"/>
      <c r="T26" s="298"/>
      <c r="X26" s="298"/>
      <c r="Y26" s="298"/>
      <c r="Z26" s="298"/>
    </row>
    <row r="27" spans="1:26" s="146" customFormat="1" ht="30" customHeight="1" x14ac:dyDescent="0.3">
      <c r="A27" s="141" t="s">
        <v>15</v>
      </c>
      <c r="B27" s="150"/>
      <c r="C27" s="143"/>
      <c r="D27" s="301">
        <v>99.23</v>
      </c>
      <c r="E27" s="301">
        <v>99.82</v>
      </c>
      <c r="F27" s="301">
        <v>98.66</v>
      </c>
      <c r="G27" s="301"/>
      <c r="H27" s="301">
        <v>100.17974835230676</v>
      </c>
      <c r="I27" s="301">
        <v>103.70828182941905</v>
      </c>
      <c r="J27" s="301">
        <v>96.860465116279073</v>
      </c>
      <c r="K27" s="301"/>
      <c r="L27" s="301">
        <v>98.386132695756118</v>
      </c>
      <c r="M27" s="301">
        <v>97.142857142857139</v>
      </c>
      <c r="N27" s="301">
        <v>99.446290143964603</v>
      </c>
      <c r="R27" s="303"/>
      <c r="S27" s="303"/>
      <c r="T27" s="303"/>
      <c r="X27" s="303"/>
      <c r="Y27" s="303"/>
      <c r="Z27" s="303"/>
    </row>
    <row r="28" spans="1:26" ht="30" customHeight="1" x14ac:dyDescent="0.3">
      <c r="A28" s="148" t="s">
        <v>16</v>
      </c>
      <c r="B28" s="149"/>
      <c r="C28" s="135"/>
      <c r="D28" s="299">
        <v>117.85</v>
      </c>
      <c r="E28" s="299">
        <v>121.33</v>
      </c>
      <c r="F28" s="299">
        <v>114.62</v>
      </c>
      <c r="G28" s="299"/>
      <c r="H28" s="299">
        <v>132.97232250300843</v>
      </c>
      <c r="I28" s="299">
        <v>140.04975124378109</v>
      </c>
      <c r="J28" s="299">
        <v>126.34032634032634</v>
      </c>
      <c r="K28" s="299"/>
      <c r="L28" s="299">
        <v>130.85016835016836</v>
      </c>
      <c r="M28" s="299">
        <v>132.24956063268894</v>
      </c>
      <c r="N28" s="299">
        <v>129.5638126009693</v>
      </c>
      <c r="R28" s="298"/>
      <c r="S28" s="298"/>
      <c r="T28" s="298"/>
      <c r="X28" s="298"/>
      <c r="Y28" s="298"/>
      <c r="Z28" s="298"/>
    </row>
    <row r="29" spans="1:26" ht="18.75" customHeight="1" thickBot="1" x14ac:dyDescent="0.35">
      <c r="A29" s="152"/>
      <c r="B29" s="152"/>
      <c r="C29" s="153"/>
      <c r="D29" s="52"/>
      <c r="E29" s="153"/>
      <c r="F29" s="52"/>
      <c r="G29" s="175"/>
      <c r="H29" s="52"/>
      <c r="I29" s="333"/>
      <c r="J29" s="333"/>
      <c r="K29" s="175"/>
      <c r="L29" s="52"/>
      <c r="M29" s="333"/>
      <c r="N29" s="333"/>
    </row>
    <row r="30" spans="1:26" ht="18.75" customHeight="1" x14ac:dyDescent="0.3">
      <c r="B30" s="56"/>
      <c r="C30" s="57"/>
      <c r="D30" s="58"/>
      <c r="E30" s="57"/>
      <c r="F30" s="58"/>
      <c r="G30" s="59"/>
      <c r="H30" s="58"/>
      <c r="I30" s="156"/>
      <c r="J30" s="55"/>
      <c r="K30" s="59"/>
      <c r="L30" s="58"/>
      <c r="M30" s="156"/>
      <c r="N30" s="55" t="s">
        <v>21</v>
      </c>
    </row>
    <row r="31" spans="1:26" ht="18.75" customHeight="1" x14ac:dyDescent="0.3">
      <c r="A31" s="63" t="s">
        <v>278</v>
      </c>
      <c r="B31" s="7"/>
      <c r="C31" s="57"/>
      <c r="D31" s="58"/>
      <c r="E31" s="57"/>
      <c r="F31" s="58"/>
      <c r="G31" s="59"/>
      <c r="H31" s="58"/>
      <c r="I31" s="156"/>
      <c r="J31" s="2"/>
      <c r="K31" s="59"/>
      <c r="L31" s="58"/>
      <c r="M31" s="156"/>
      <c r="N31" s="421" t="s">
        <v>22</v>
      </c>
    </row>
    <row r="32" spans="1:26" ht="18.75" customHeight="1" x14ac:dyDescent="0.3">
      <c r="A32" s="56" t="s">
        <v>217</v>
      </c>
    </row>
    <row r="33" spans="1:1" ht="18.75" customHeight="1" x14ac:dyDescent="0.3">
      <c r="A33" s="437" t="s">
        <v>218</v>
      </c>
    </row>
  </sheetData>
  <mergeCells count="8">
    <mergeCell ref="C1:N1"/>
    <mergeCell ref="A5:A8"/>
    <mergeCell ref="L5:N5"/>
    <mergeCell ref="D5:F5"/>
    <mergeCell ref="H5:J5"/>
    <mergeCell ref="D6:F6"/>
    <mergeCell ref="H6:J6"/>
    <mergeCell ref="L7:N7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tabColor rgb="FFEE6EE8"/>
  </sheetPr>
  <dimension ref="A1:AL33"/>
  <sheetViews>
    <sheetView tabSelected="1" view="pageBreakPreview" zoomScaleNormal="75" zoomScaleSheetLayoutView="100" workbookViewId="0">
      <selection activeCell="C25" sqref="C25"/>
    </sheetView>
  </sheetViews>
  <sheetFormatPr defaultColWidth="12.42578125" defaultRowHeight="17.25" x14ac:dyDescent="0.3"/>
  <cols>
    <col min="1" max="1" width="14.28515625" style="16" customWidth="1"/>
    <col min="2" max="2" width="1.7109375" style="16" customWidth="1"/>
    <col min="3" max="3" width="14.5703125" style="16" customWidth="1"/>
    <col min="4" max="6" width="15.7109375" style="16" customWidth="1"/>
    <col min="7" max="7" width="1.7109375" style="16" customWidth="1"/>
    <col min="8" max="8" width="15.7109375" style="16" customWidth="1"/>
    <col min="9" max="9" width="15.7109375" style="14" customWidth="1"/>
    <col min="10" max="10" width="15.7109375" style="15" customWidth="1"/>
    <col min="11" max="11" width="1.7109375" style="16" customWidth="1"/>
    <col min="12" max="12" width="15.7109375" style="16" customWidth="1"/>
    <col min="13" max="13" width="15.7109375" style="14" customWidth="1"/>
    <col min="14" max="14" width="15.7109375" style="15" customWidth="1"/>
    <col min="15" max="30" width="12.42578125" style="16"/>
    <col min="31" max="31" width="3" style="16" customWidth="1"/>
    <col min="32" max="34" width="12.42578125" style="16"/>
    <col min="35" max="35" width="3.85546875" style="16" customWidth="1"/>
    <col min="36" max="16384" width="12.42578125" style="16"/>
  </cols>
  <sheetData>
    <row r="1" spans="1:38" s="5" customFormat="1" ht="18.75" customHeight="1" x14ac:dyDescent="0.3">
      <c r="A1" s="70" t="s">
        <v>97</v>
      </c>
      <c r="B1" s="70" t="s">
        <v>80</v>
      </c>
      <c r="C1" s="70" t="s">
        <v>189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38" s="427" customFormat="1" ht="18.75" customHeight="1" x14ac:dyDescent="0.3">
      <c r="A2" s="426" t="s">
        <v>98</v>
      </c>
      <c r="B2" s="426" t="s">
        <v>80</v>
      </c>
      <c r="C2" s="426" t="s">
        <v>190</v>
      </c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</row>
    <row r="3" spans="1:38" s="57" customFormat="1" ht="11.25" customHeight="1" thickBot="1" x14ac:dyDescent="0.35">
      <c r="I3" s="119"/>
      <c r="J3" s="120"/>
      <c r="M3" s="119"/>
      <c r="N3" s="120"/>
    </row>
    <row r="4" spans="1:38" s="57" customFormat="1" ht="9" customHeight="1" x14ac:dyDescent="0.3">
      <c r="A4" s="121"/>
      <c r="B4" s="121"/>
      <c r="C4" s="121"/>
      <c r="D4" s="122"/>
      <c r="E4" s="122"/>
      <c r="F4" s="122"/>
      <c r="G4" s="122"/>
      <c r="H4" s="122"/>
      <c r="I4" s="123"/>
      <c r="J4" s="124"/>
      <c r="K4" s="122"/>
      <c r="L4" s="122"/>
      <c r="M4" s="123"/>
      <c r="N4" s="124"/>
    </row>
    <row r="5" spans="1:38" s="57" customFormat="1" ht="18.75" customHeight="1" x14ac:dyDescent="0.3">
      <c r="A5" s="525" t="s">
        <v>243</v>
      </c>
      <c r="B5" s="125"/>
      <c r="C5" s="126"/>
      <c r="D5" s="527">
        <v>2022</v>
      </c>
      <c r="E5" s="527"/>
      <c r="F5" s="527"/>
      <c r="G5" s="127"/>
      <c r="H5" s="527">
        <v>2023</v>
      </c>
      <c r="I5" s="527"/>
      <c r="J5" s="527"/>
      <c r="K5" s="127"/>
      <c r="L5" s="527">
        <v>2024</v>
      </c>
      <c r="M5" s="527"/>
      <c r="N5" s="527"/>
    </row>
    <row r="6" spans="1:38" s="57" customFormat="1" ht="9" customHeight="1" x14ac:dyDescent="0.3">
      <c r="A6" s="525"/>
      <c r="B6" s="125"/>
      <c r="C6" s="126"/>
      <c r="D6" s="527"/>
      <c r="E6" s="527"/>
      <c r="F6" s="527"/>
      <c r="G6" s="127"/>
      <c r="H6" s="527"/>
      <c r="I6" s="527"/>
      <c r="J6" s="527"/>
      <c r="K6" s="127"/>
      <c r="L6" s="527"/>
      <c r="M6" s="527"/>
      <c r="N6" s="527"/>
    </row>
    <row r="7" spans="1:38" s="57" customFormat="1" ht="9" customHeight="1" x14ac:dyDescent="0.3">
      <c r="A7" s="525"/>
      <c r="B7" s="125"/>
      <c r="C7" s="126"/>
      <c r="D7" s="76"/>
      <c r="E7" s="76"/>
      <c r="F7" s="76"/>
      <c r="G7" s="128"/>
      <c r="H7" s="76"/>
      <c r="I7" s="76"/>
      <c r="J7" s="76"/>
      <c r="K7" s="128"/>
      <c r="L7" s="76"/>
      <c r="M7" s="76"/>
      <c r="N7" s="76"/>
    </row>
    <row r="8" spans="1:38" s="253" customFormat="1" ht="37.5" customHeight="1" x14ac:dyDescent="0.3">
      <c r="A8" s="526"/>
      <c r="B8" s="129"/>
      <c r="C8" s="126"/>
      <c r="D8" s="76" t="s">
        <v>253</v>
      </c>
      <c r="E8" s="76" t="s">
        <v>254</v>
      </c>
      <c r="F8" s="76" t="s">
        <v>255</v>
      </c>
      <c r="G8" s="77"/>
      <c r="H8" s="76" t="s">
        <v>253</v>
      </c>
      <c r="I8" s="76" t="s">
        <v>254</v>
      </c>
      <c r="J8" s="76" t="s">
        <v>255</v>
      </c>
      <c r="K8" s="77"/>
      <c r="L8" s="76" t="s">
        <v>253</v>
      </c>
      <c r="M8" s="76" t="s">
        <v>254</v>
      </c>
      <c r="N8" s="76" t="s">
        <v>255</v>
      </c>
    </row>
    <row r="9" spans="1:38" s="57" customFormat="1" ht="9" customHeight="1" thickBot="1" x14ac:dyDescent="0.35">
      <c r="A9" s="130"/>
      <c r="B9" s="130"/>
      <c r="C9" s="131"/>
      <c r="D9" s="131"/>
      <c r="E9" s="130"/>
      <c r="F9" s="132"/>
      <c r="G9" s="131"/>
      <c r="H9" s="131"/>
      <c r="I9" s="130"/>
      <c r="J9" s="132"/>
      <c r="K9" s="131"/>
      <c r="L9" s="131"/>
      <c r="M9" s="130"/>
      <c r="N9" s="132"/>
    </row>
    <row r="10" spans="1:38" ht="18.75" customHeight="1" x14ac:dyDescent="0.3">
      <c r="A10" s="133"/>
      <c r="B10" s="133"/>
      <c r="C10" s="57"/>
      <c r="D10" s="57"/>
      <c r="E10" s="133"/>
      <c r="F10" s="120"/>
      <c r="G10" s="57"/>
      <c r="H10" s="57"/>
      <c r="I10" s="133"/>
      <c r="J10" s="120"/>
      <c r="K10" s="57"/>
      <c r="L10" s="57"/>
      <c r="M10" s="133"/>
      <c r="N10" s="120"/>
    </row>
    <row r="11" spans="1:38" ht="30" customHeight="1" x14ac:dyDescent="0.3">
      <c r="A11" s="134" t="s">
        <v>0</v>
      </c>
      <c r="B11" s="134"/>
      <c r="C11" s="135"/>
      <c r="D11" s="296">
        <v>98.68</v>
      </c>
      <c r="E11" s="296">
        <v>98.79</v>
      </c>
      <c r="F11" s="296">
        <v>98.57</v>
      </c>
      <c r="G11" s="296"/>
      <c r="H11" s="296">
        <v>99.11</v>
      </c>
      <c r="I11" s="296">
        <v>99.47</v>
      </c>
      <c r="J11" s="296">
        <v>98.77</v>
      </c>
      <c r="K11" s="296"/>
      <c r="L11" s="296">
        <v>99.808778967380363</v>
      </c>
      <c r="M11" s="296">
        <v>100.31027672911057</v>
      </c>
      <c r="N11" s="296">
        <v>99.339361384774222</v>
      </c>
      <c r="R11" s="298"/>
      <c r="S11" s="298"/>
      <c r="T11" s="298"/>
      <c r="X11" s="298"/>
      <c r="Y11" s="298"/>
      <c r="Z11" s="298"/>
      <c r="AB11" s="298"/>
      <c r="AC11" s="298"/>
      <c r="AD11" s="298"/>
      <c r="AF11" s="298"/>
      <c r="AG11" s="298"/>
      <c r="AH11" s="298"/>
      <c r="AI11" s="298"/>
      <c r="AJ11" s="298"/>
      <c r="AK11" s="298"/>
      <c r="AL11" s="298"/>
    </row>
    <row r="12" spans="1:38" ht="18.75" customHeight="1" x14ac:dyDescent="0.3">
      <c r="A12" s="320"/>
      <c r="B12" s="320"/>
      <c r="C12" s="135"/>
      <c r="D12" s="299"/>
      <c r="E12" s="299"/>
      <c r="F12" s="299"/>
      <c r="G12" s="327"/>
      <c r="H12" s="299"/>
      <c r="I12" s="299"/>
      <c r="J12" s="299"/>
      <c r="K12" s="327"/>
      <c r="L12" s="299"/>
      <c r="M12" s="299"/>
      <c r="N12" s="299"/>
    </row>
    <row r="13" spans="1:38" s="146" customFormat="1" ht="30" customHeight="1" x14ac:dyDescent="0.3">
      <c r="A13" s="141" t="s">
        <v>1</v>
      </c>
      <c r="B13" s="142"/>
      <c r="C13" s="143"/>
      <c r="D13" s="301">
        <v>101.01</v>
      </c>
      <c r="E13" s="301">
        <v>101.05</v>
      </c>
      <c r="F13" s="301">
        <v>100.97</v>
      </c>
      <c r="G13" s="301"/>
      <c r="H13" s="301">
        <v>100.94225371242302</v>
      </c>
      <c r="I13" s="301">
        <v>101.13249951715137</v>
      </c>
      <c r="J13" s="301">
        <v>100.76418675738303</v>
      </c>
      <c r="K13" s="301"/>
      <c r="L13" s="301">
        <v>101.21868044582037</v>
      </c>
      <c r="M13" s="301">
        <v>101.58955254241229</v>
      </c>
      <c r="N13" s="301">
        <v>100.87229815552637</v>
      </c>
      <c r="R13" s="303"/>
      <c r="S13" s="303"/>
      <c r="T13" s="303"/>
      <c r="X13" s="303"/>
      <c r="Y13" s="303"/>
      <c r="Z13" s="303"/>
      <c r="AB13" s="303"/>
      <c r="AC13" s="303"/>
      <c r="AD13" s="303"/>
      <c r="AF13" s="303"/>
      <c r="AG13" s="303"/>
      <c r="AH13" s="303"/>
      <c r="AI13" s="303"/>
      <c r="AJ13" s="303"/>
      <c r="AK13" s="303"/>
      <c r="AL13" s="303"/>
    </row>
    <row r="14" spans="1:38" ht="30" customHeight="1" x14ac:dyDescent="0.3">
      <c r="A14" s="148" t="s">
        <v>2</v>
      </c>
      <c r="B14" s="149"/>
      <c r="C14" s="135"/>
      <c r="D14" s="299">
        <v>98.51</v>
      </c>
      <c r="E14" s="299">
        <v>98.89</v>
      </c>
      <c r="F14" s="299">
        <v>98.15</v>
      </c>
      <c r="G14" s="299"/>
      <c r="H14" s="299">
        <v>98.501956400223591</v>
      </c>
      <c r="I14" s="299">
        <v>98.480073786557014</v>
      </c>
      <c r="J14" s="299">
        <v>98.522550544323479</v>
      </c>
      <c r="K14" s="299"/>
      <c r="L14" s="299">
        <v>97.641702096058509</v>
      </c>
      <c r="M14" s="299">
        <v>97.619914880564394</v>
      </c>
      <c r="N14" s="299">
        <v>97.662155352386435</v>
      </c>
      <c r="R14" s="298"/>
      <c r="S14" s="298"/>
      <c r="T14" s="298"/>
      <c r="X14" s="298"/>
      <c r="Y14" s="298"/>
      <c r="Z14" s="298"/>
      <c r="AB14" s="298"/>
      <c r="AC14" s="298"/>
      <c r="AD14" s="298"/>
      <c r="AF14" s="298"/>
      <c r="AG14" s="298"/>
      <c r="AH14" s="298"/>
      <c r="AI14" s="298"/>
      <c r="AJ14" s="298"/>
      <c r="AK14" s="298"/>
      <c r="AL14" s="298"/>
    </row>
    <row r="15" spans="1:38" s="146" customFormat="1" ht="30" customHeight="1" x14ac:dyDescent="0.3">
      <c r="A15" s="141" t="s">
        <v>3</v>
      </c>
      <c r="B15" s="150"/>
      <c r="C15" s="143"/>
      <c r="D15" s="301">
        <v>82.13</v>
      </c>
      <c r="E15" s="301">
        <v>82.16</v>
      </c>
      <c r="F15" s="301">
        <v>82.1</v>
      </c>
      <c r="G15" s="301"/>
      <c r="H15" s="301">
        <v>81.304509678791746</v>
      </c>
      <c r="I15" s="301">
        <v>81.5584676866238</v>
      </c>
      <c r="J15" s="301">
        <v>81.065719666027505</v>
      </c>
      <c r="K15" s="301"/>
      <c r="L15" s="301">
        <v>80.543115937242675</v>
      </c>
      <c r="M15" s="301">
        <v>80.512969556056092</v>
      </c>
      <c r="N15" s="301">
        <v>80.571487182993849</v>
      </c>
      <c r="R15" s="303"/>
      <c r="S15" s="303"/>
      <c r="T15" s="303"/>
      <c r="X15" s="303"/>
      <c r="Y15" s="303"/>
      <c r="Z15" s="303"/>
      <c r="AB15" s="303"/>
      <c r="AC15" s="303"/>
      <c r="AD15" s="303"/>
      <c r="AF15" s="303"/>
      <c r="AG15" s="303"/>
      <c r="AH15" s="303"/>
      <c r="AI15" s="303"/>
      <c r="AJ15" s="303"/>
      <c r="AK15" s="303"/>
      <c r="AL15" s="303"/>
    </row>
    <row r="16" spans="1:38" ht="30" customHeight="1" x14ac:dyDescent="0.3">
      <c r="A16" s="148" t="s">
        <v>4</v>
      </c>
      <c r="B16" s="149"/>
      <c r="C16" s="135"/>
      <c r="D16" s="299">
        <v>106.91</v>
      </c>
      <c r="E16" s="299">
        <v>106.86</v>
      </c>
      <c r="F16" s="299">
        <v>106.95</v>
      </c>
      <c r="G16" s="299"/>
      <c r="H16" s="299">
        <v>106.48864869967434</v>
      </c>
      <c r="I16" s="299">
        <v>106.38806844533404</v>
      </c>
      <c r="J16" s="299">
        <v>106.58276421278636</v>
      </c>
      <c r="K16" s="299"/>
      <c r="L16" s="299">
        <v>106.78477505400583</v>
      </c>
      <c r="M16" s="299">
        <v>106.49927219796216</v>
      </c>
      <c r="N16" s="299">
        <v>107.05250705250707</v>
      </c>
      <c r="R16" s="298"/>
      <c r="S16" s="298"/>
      <c r="T16" s="298"/>
      <c r="X16" s="298"/>
      <c r="Y16" s="298"/>
      <c r="Z16" s="298"/>
      <c r="AB16" s="298"/>
      <c r="AC16" s="298"/>
      <c r="AD16" s="298"/>
      <c r="AF16" s="298"/>
      <c r="AG16" s="298"/>
      <c r="AH16" s="298"/>
      <c r="AI16" s="298"/>
      <c r="AJ16" s="298"/>
      <c r="AK16" s="298"/>
      <c r="AL16" s="298"/>
    </row>
    <row r="17" spans="1:38" s="146" customFormat="1" ht="30" customHeight="1" x14ac:dyDescent="0.3">
      <c r="A17" s="141" t="s">
        <v>5</v>
      </c>
      <c r="B17" s="150"/>
      <c r="C17" s="143"/>
      <c r="D17" s="301">
        <v>109.43</v>
      </c>
      <c r="E17" s="301">
        <v>109.12</v>
      </c>
      <c r="F17" s="301">
        <v>109.71</v>
      </c>
      <c r="G17" s="301"/>
      <c r="H17" s="301">
        <v>107.83059508046919</v>
      </c>
      <c r="I17" s="301">
        <v>107.66115750518301</v>
      </c>
      <c r="J17" s="301">
        <v>107.98777747820616</v>
      </c>
      <c r="K17" s="301"/>
      <c r="L17" s="301">
        <v>110.61975677960592</v>
      </c>
      <c r="M17" s="301">
        <v>110.26219829831567</v>
      </c>
      <c r="N17" s="301">
        <v>110.95183486238531</v>
      </c>
      <c r="R17" s="303"/>
      <c r="S17" s="303"/>
      <c r="T17" s="303"/>
      <c r="X17" s="303"/>
      <c r="Y17" s="303"/>
      <c r="Z17" s="303"/>
      <c r="AB17" s="303"/>
      <c r="AC17" s="303"/>
      <c r="AD17" s="303"/>
      <c r="AF17" s="303"/>
      <c r="AG17" s="303"/>
      <c r="AH17" s="303"/>
      <c r="AI17" s="303"/>
      <c r="AJ17" s="303"/>
      <c r="AK17" s="303"/>
      <c r="AL17" s="303"/>
    </row>
    <row r="18" spans="1:38" ht="30" customHeight="1" x14ac:dyDescent="0.3">
      <c r="A18" s="148" t="s">
        <v>6</v>
      </c>
      <c r="B18" s="149"/>
      <c r="C18" s="135"/>
      <c r="D18" s="299">
        <v>99.22</v>
      </c>
      <c r="E18" s="299">
        <v>99.48</v>
      </c>
      <c r="F18" s="299">
        <v>98.99</v>
      </c>
      <c r="G18" s="299"/>
      <c r="H18" s="299">
        <v>98.408488063660485</v>
      </c>
      <c r="I18" s="299">
        <v>98.546562885715005</v>
      </c>
      <c r="J18" s="299">
        <v>98.278898778916513</v>
      </c>
      <c r="K18" s="299"/>
      <c r="L18" s="299">
        <v>99.283757267221105</v>
      </c>
      <c r="M18" s="299">
        <v>99.374366546127959</v>
      </c>
      <c r="N18" s="299">
        <v>99.198252450112179</v>
      </c>
      <c r="R18" s="298"/>
      <c r="S18" s="298"/>
      <c r="T18" s="298"/>
      <c r="X18" s="298"/>
      <c r="Y18" s="298"/>
      <c r="Z18" s="298"/>
      <c r="AB18" s="298"/>
      <c r="AC18" s="298"/>
      <c r="AD18" s="298"/>
      <c r="AF18" s="298"/>
      <c r="AG18" s="298"/>
      <c r="AH18" s="298"/>
      <c r="AI18" s="298"/>
      <c r="AJ18" s="298"/>
      <c r="AK18" s="298"/>
      <c r="AL18" s="298"/>
    </row>
    <row r="19" spans="1:38" s="146" customFormat="1" ht="30" customHeight="1" x14ac:dyDescent="0.3">
      <c r="A19" s="141" t="s">
        <v>7</v>
      </c>
      <c r="B19" s="150"/>
      <c r="C19" s="143"/>
      <c r="D19" s="301">
        <v>98.81</v>
      </c>
      <c r="E19" s="301">
        <v>98.48</v>
      </c>
      <c r="F19" s="301">
        <v>99.12</v>
      </c>
      <c r="G19" s="301"/>
      <c r="H19" s="301">
        <v>106.3242489379036</v>
      </c>
      <c r="I19" s="301">
        <v>106.03410498237591</v>
      </c>
      <c r="J19" s="301">
        <v>106.59548130270997</v>
      </c>
      <c r="K19" s="301"/>
      <c r="L19" s="301">
        <v>98.640324309212062</v>
      </c>
      <c r="M19" s="301">
        <v>98.460560286694161</v>
      </c>
      <c r="N19" s="301">
        <v>98.808728769200229</v>
      </c>
      <c r="R19" s="303"/>
      <c r="S19" s="303"/>
      <c r="T19" s="303"/>
      <c r="X19" s="303"/>
      <c r="Y19" s="303"/>
      <c r="Z19" s="303"/>
      <c r="AB19" s="303"/>
      <c r="AC19" s="303"/>
      <c r="AD19" s="303"/>
      <c r="AF19" s="303"/>
      <c r="AG19" s="303"/>
      <c r="AH19" s="303"/>
      <c r="AI19" s="303"/>
      <c r="AJ19" s="303"/>
      <c r="AK19" s="303"/>
      <c r="AL19" s="303"/>
    </row>
    <row r="20" spans="1:38" ht="30" customHeight="1" x14ac:dyDescent="0.3">
      <c r="A20" s="148" t="s">
        <v>8</v>
      </c>
      <c r="B20" s="149"/>
      <c r="C20" s="135"/>
      <c r="D20" s="299">
        <v>105.39</v>
      </c>
      <c r="E20" s="299">
        <v>105.06</v>
      </c>
      <c r="F20" s="299">
        <v>105.69</v>
      </c>
      <c r="G20" s="299"/>
      <c r="H20" s="299">
        <v>104.20254364483768</v>
      </c>
      <c r="I20" s="299">
        <v>104.13827079398965</v>
      </c>
      <c r="J20" s="299">
        <v>104.26212040490144</v>
      </c>
      <c r="K20" s="299"/>
      <c r="L20" s="299">
        <v>103.75341396800624</v>
      </c>
      <c r="M20" s="299">
        <v>104.00876409965105</v>
      </c>
      <c r="N20" s="299">
        <v>103.51694596828737</v>
      </c>
      <c r="R20" s="298"/>
      <c r="S20" s="298"/>
      <c r="T20" s="298"/>
      <c r="X20" s="298"/>
      <c r="Y20" s="298"/>
      <c r="Z20" s="298"/>
      <c r="AB20" s="298"/>
      <c r="AC20" s="298"/>
      <c r="AD20" s="298"/>
      <c r="AF20" s="298"/>
      <c r="AG20" s="298"/>
      <c r="AH20" s="298"/>
      <c r="AI20" s="298"/>
      <c r="AJ20" s="298"/>
      <c r="AK20" s="298"/>
      <c r="AL20" s="298"/>
    </row>
    <row r="21" spans="1:38" s="146" customFormat="1" ht="30" customHeight="1" x14ac:dyDescent="0.3">
      <c r="A21" s="141" t="s">
        <v>9</v>
      </c>
      <c r="B21" s="150"/>
      <c r="C21" s="143"/>
      <c r="D21" s="301">
        <v>104.89</v>
      </c>
      <c r="E21" s="301">
        <v>105.21</v>
      </c>
      <c r="F21" s="301">
        <v>104.59</v>
      </c>
      <c r="G21" s="301"/>
      <c r="H21" s="301">
        <v>105.40498010505728</v>
      </c>
      <c r="I21" s="301">
        <v>104.70021462872319</v>
      </c>
      <c r="J21" s="301">
        <v>106.06947356161191</v>
      </c>
      <c r="K21" s="301"/>
      <c r="L21" s="301">
        <v>103.50431346525097</v>
      </c>
      <c r="M21" s="301">
        <v>103.64688362857942</v>
      </c>
      <c r="N21" s="301">
        <v>103.36943441636583</v>
      </c>
      <c r="R21" s="303"/>
      <c r="S21" s="303"/>
      <c r="T21" s="303"/>
      <c r="X21" s="303"/>
      <c r="Y21" s="303"/>
      <c r="Z21" s="303"/>
      <c r="AB21" s="303"/>
      <c r="AC21" s="303"/>
      <c r="AD21" s="303"/>
      <c r="AF21" s="303"/>
      <c r="AG21" s="303"/>
      <c r="AH21" s="303"/>
      <c r="AI21" s="303"/>
      <c r="AJ21" s="303"/>
      <c r="AK21" s="303"/>
      <c r="AL21" s="303"/>
    </row>
    <row r="22" spans="1:38" ht="30" customHeight="1" x14ac:dyDescent="0.3">
      <c r="A22" s="148" t="s">
        <v>10</v>
      </c>
      <c r="B22" s="149"/>
      <c r="C22" s="135"/>
      <c r="D22" s="299">
        <v>92.66</v>
      </c>
      <c r="E22" s="299">
        <v>93</v>
      </c>
      <c r="F22" s="299">
        <v>92.34</v>
      </c>
      <c r="G22" s="299"/>
      <c r="H22" s="299">
        <v>90.597514354767171</v>
      </c>
      <c r="I22" s="299">
        <v>91.064465695108083</v>
      </c>
      <c r="J22" s="299">
        <v>90.165543680297404</v>
      </c>
      <c r="K22" s="299"/>
      <c r="L22" s="299">
        <v>98.715580696891038</v>
      </c>
      <c r="M22" s="299">
        <v>99.463413399478597</v>
      </c>
      <c r="N22" s="299">
        <v>98.022802544037049</v>
      </c>
      <c r="R22" s="298"/>
      <c r="S22" s="298"/>
      <c r="T22" s="298"/>
      <c r="X22" s="298"/>
      <c r="Y22" s="298"/>
      <c r="Z22" s="298"/>
      <c r="AB22" s="298"/>
      <c r="AC22" s="298"/>
      <c r="AD22" s="298"/>
      <c r="AF22" s="298"/>
      <c r="AG22" s="298"/>
      <c r="AH22" s="298"/>
      <c r="AI22" s="298"/>
      <c r="AJ22" s="298"/>
      <c r="AK22" s="298"/>
      <c r="AL22" s="298"/>
    </row>
    <row r="23" spans="1:38" s="146" customFormat="1" ht="30" customHeight="1" x14ac:dyDescent="0.3">
      <c r="A23" s="141" t="s">
        <v>11</v>
      </c>
      <c r="B23" s="150"/>
      <c r="C23" s="143"/>
      <c r="D23" s="301">
        <v>97.46</v>
      </c>
      <c r="E23" s="301">
        <v>97.35</v>
      </c>
      <c r="F23" s="301">
        <v>97.56</v>
      </c>
      <c r="G23" s="301"/>
      <c r="H23" s="301">
        <v>97.26185885075202</v>
      </c>
      <c r="I23" s="301">
        <v>97.196873697728421</v>
      </c>
      <c r="J23" s="301">
        <v>97.322426461845765</v>
      </c>
      <c r="K23" s="301"/>
      <c r="L23" s="301">
        <v>97.784965659196402</v>
      </c>
      <c r="M23" s="301">
        <v>98.234580931031772</v>
      </c>
      <c r="N23" s="301">
        <v>97.367269544924156</v>
      </c>
      <c r="R23" s="303"/>
      <c r="S23" s="303"/>
      <c r="T23" s="303"/>
      <c r="X23" s="303"/>
      <c r="Y23" s="303"/>
      <c r="Z23" s="303"/>
      <c r="AB23" s="303"/>
      <c r="AC23" s="303"/>
      <c r="AD23" s="303"/>
      <c r="AF23" s="303"/>
      <c r="AG23" s="303"/>
      <c r="AH23" s="303"/>
      <c r="AI23" s="303"/>
      <c r="AJ23" s="303"/>
      <c r="AK23" s="303"/>
      <c r="AL23" s="303"/>
    </row>
    <row r="24" spans="1:38" ht="30" customHeight="1" x14ac:dyDescent="0.3">
      <c r="A24" s="148" t="s">
        <v>12</v>
      </c>
      <c r="B24" s="149"/>
      <c r="C24" s="135"/>
      <c r="D24" s="299">
        <v>102.81</v>
      </c>
      <c r="E24" s="299">
        <v>102.76</v>
      </c>
      <c r="F24" s="299">
        <v>102.86</v>
      </c>
      <c r="G24" s="299"/>
      <c r="H24" s="299">
        <v>103.58384082650699</v>
      </c>
      <c r="I24" s="299">
        <v>104.95689655172413</v>
      </c>
      <c r="J24" s="299">
        <v>102.2963126517995</v>
      </c>
      <c r="K24" s="299"/>
      <c r="L24" s="299">
        <v>104.81784572452774</v>
      </c>
      <c r="M24" s="299">
        <v>105.78149424761108</v>
      </c>
      <c r="N24" s="299">
        <v>103.91489935436029</v>
      </c>
      <c r="R24" s="298"/>
      <c r="S24" s="298"/>
      <c r="T24" s="298"/>
      <c r="X24" s="298"/>
      <c r="Y24" s="298"/>
      <c r="Z24" s="298"/>
      <c r="AB24" s="298"/>
      <c r="AC24" s="298"/>
      <c r="AD24" s="298"/>
      <c r="AF24" s="298"/>
      <c r="AG24" s="298"/>
      <c r="AH24" s="298"/>
      <c r="AI24" s="298"/>
      <c r="AJ24" s="298"/>
      <c r="AK24" s="298"/>
      <c r="AL24" s="298"/>
    </row>
    <row r="25" spans="1:38" s="146" customFormat="1" ht="30" customHeight="1" x14ac:dyDescent="0.3">
      <c r="A25" s="141" t="s">
        <v>13</v>
      </c>
      <c r="B25" s="150"/>
      <c r="C25" s="143"/>
      <c r="D25" s="301">
        <v>95.49</v>
      </c>
      <c r="E25" s="301">
        <v>95.58</v>
      </c>
      <c r="F25" s="301">
        <v>95.41</v>
      </c>
      <c r="G25" s="301"/>
      <c r="H25" s="301">
        <v>96.387097598854709</v>
      </c>
      <c r="I25" s="301">
        <v>96.259704532529199</v>
      </c>
      <c r="J25" s="301">
        <v>96.506220782111853</v>
      </c>
      <c r="K25" s="301"/>
      <c r="L25" s="301">
        <v>94.096130478898644</v>
      </c>
      <c r="M25" s="301">
        <v>95.096697565132075</v>
      </c>
      <c r="N25" s="301">
        <v>93.153284671532845</v>
      </c>
      <c r="R25" s="303"/>
      <c r="S25" s="303"/>
      <c r="T25" s="303"/>
      <c r="X25" s="303"/>
      <c r="Y25" s="303"/>
      <c r="Z25" s="303"/>
      <c r="AB25" s="303"/>
      <c r="AC25" s="303"/>
      <c r="AD25" s="303"/>
      <c r="AF25" s="303"/>
      <c r="AG25" s="303"/>
      <c r="AH25" s="303"/>
      <c r="AI25" s="303"/>
      <c r="AJ25" s="303"/>
      <c r="AK25" s="303"/>
      <c r="AL25" s="303"/>
    </row>
    <row r="26" spans="1:38" ht="30" customHeight="1" x14ac:dyDescent="0.3">
      <c r="A26" s="148" t="s">
        <v>14</v>
      </c>
      <c r="B26" s="149"/>
      <c r="C26" s="135"/>
      <c r="D26" s="299">
        <v>112.9</v>
      </c>
      <c r="E26" s="299">
        <v>114.23</v>
      </c>
      <c r="F26" s="299">
        <v>111.65</v>
      </c>
      <c r="G26" s="299"/>
      <c r="H26" s="299">
        <v>111.99685868592653</v>
      </c>
      <c r="I26" s="299">
        <v>113.22952541786897</v>
      </c>
      <c r="J26" s="299">
        <v>110.84021660469642</v>
      </c>
      <c r="K26" s="299"/>
      <c r="L26" s="299">
        <v>99.695273833015236</v>
      </c>
      <c r="M26" s="299">
        <v>101.65145705009154</v>
      </c>
      <c r="N26" s="299">
        <v>97.858809362534799</v>
      </c>
      <c r="R26" s="298"/>
      <c r="S26" s="298"/>
      <c r="T26" s="298"/>
      <c r="X26" s="298"/>
      <c r="Y26" s="298"/>
      <c r="Z26" s="298"/>
      <c r="AB26" s="298"/>
      <c r="AC26" s="298"/>
      <c r="AD26" s="298"/>
      <c r="AF26" s="298"/>
      <c r="AG26" s="298"/>
      <c r="AH26" s="298"/>
      <c r="AI26" s="298"/>
      <c r="AJ26" s="298"/>
      <c r="AK26" s="298"/>
      <c r="AL26" s="298"/>
    </row>
    <row r="27" spans="1:38" s="146" customFormat="1" ht="30" customHeight="1" x14ac:dyDescent="0.3">
      <c r="A27" s="141" t="s">
        <v>15</v>
      </c>
      <c r="B27" s="150"/>
      <c r="C27" s="143"/>
      <c r="D27" s="301">
        <v>98.29</v>
      </c>
      <c r="E27" s="301">
        <v>99.05</v>
      </c>
      <c r="F27" s="301">
        <v>97.61</v>
      </c>
      <c r="G27" s="301"/>
      <c r="H27" s="301">
        <v>98.821438593209237</v>
      </c>
      <c r="I27" s="301">
        <v>99.102789155451532</v>
      </c>
      <c r="J27" s="301">
        <v>98.562185478073332</v>
      </c>
      <c r="K27" s="301"/>
      <c r="L27" s="301">
        <v>106.1713319556641</v>
      </c>
      <c r="M27" s="301">
        <v>109.58984375</v>
      </c>
      <c r="N27" s="301">
        <v>103.00398117987694</v>
      </c>
      <c r="R27" s="303"/>
      <c r="S27" s="303"/>
      <c r="T27" s="303"/>
      <c r="X27" s="303"/>
      <c r="Y27" s="303"/>
      <c r="Z27" s="303"/>
      <c r="AB27" s="303"/>
      <c r="AC27" s="303"/>
      <c r="AD27" s="303"/>
      <c r="AF27" s="303"/>
      <c r="AG27" s="303"/>
      <c r="AH27" s="303"/>
      <c r="AI27" s="303"/>
      <c r="AJ27" s="303"/>
      <c r="AK27" s="303"/>
      <c r="AL27" s="303"/>
    </row>
    <row r="28" spans="1:38" ht="30" customHeight="1" x14ac:dyDescent="0.3">
      <c r="A28" s="148" t="s">
        <v>16</v>
      </c>
      <c r="B28" s="149"/>
      <c r="C28" s="135"/>
      <c r="D28" s="299">
        <v>134.13</v>
      </c>
      <c r="E28" s="299">
        <v>135.04</v>
      </c>
      <c r="F28" s="299">
        <v>133.26</v>
      </c>
      <c r="G28" s="299"/>
      <c r="H28" s="299">
        <v>143.75682981537932</v>
      </c>
      <c r="I28" s="299">
        <v>143.8773093320701</v>
      </c>
      <c r="J28" s="299">
        <v>143.64307279436431</v>
      </c>
      <c r="K28" s="299"/>
      <c r="L28" s="299">
        <v>150.79627226613189</v>
      </c>
      <c r="M28" s="299">
        <v>152.6712912255081</v>
      </c>
      <c r="N28" s="299">
        <v>149.03284880393727</v>
      </c>
      <c r="R28" s="298"/>
      <c r="S28" s="298"/>
      <c r="T28" s="298"/>
      <c r="X28" s="298"/>
      <c r="Y28" s="298"/>
      <c r="Z28" s="298"/>
      <c r="AB28" s="298"/>
      <c r="AC28" s="298"/>
      <c r="AD28" s="298"/>
      <c r="AF28" s="298"/>
      <c r="AG28" s="298"/>
      <c r="AH28" s="298"/>
      <c r="AI28" s="298"/>
      <c r="AJ28" s="298"/>
      <c r="AK28" s="298"/>
      <c r="AL28" s="298"/>
    </row>
    <row r="29" spans="1:38" ht="18.75" customHeight="1" thickBot="1" x14ac:dyDescent="0.35">
      <c r="A29" s="152"/>
      <c r="B29" s="152"/>
      <c r="C29" s="153"/>
      <c r="D29" s="52"/>
      <c r="E29" s="153"/>
      <c r="F29" s="52"/>
      <c r="G29" s="175"/>
      <c r="H29" s="52"/>
      <c r="I29" s="174"/>
      <c r="J29" s="177"/>
      <c r="K29" s="175"/>
      <c r="L29" s="52"/>
      <c r="M29" s="174"/>
      <c r="N29" s="177"/>
    </row>
    <row r="30" spans="1:38" ht="18.75" customHeight="1" x14ac:dyDescent="0.3">
      <c r="B30" s="56"/>
      <c r="C30" s="57"/>
      <c r="D30" s="58"/>
      <c r="E30" s="57"/>
      <c r="F30" s="58"/>
      <c r="G30" s="59"/>
      <c r="H30" s="58"/>
      <c r="I30" s="156"/>
      <c r="J30" s="55"/>
      <c r="K30" s="59"/>
      <c r="L30" s="58"/>
      <c r="M30" s="156"/>
      <c r="N30" s="55" t="s">
        <v>21</v>
      </c>
    </row>
    <row r="31" spans="1:38" ht="18.75" customHeight="1" x14ac:dyDescent="0.3">
      <c r="A31" s="63"/>
      <c r="B31" s="7"/>
      <c r="C31" s="57"/>
      <c r="D31" s="58"/>
      <c r="E31" s="57"/>
      <c r="F31" s="58"/>
      <c r="G31" s="59"/>
      <c r="H31" s="58"/>
      <c r="I31" s="156"/>
      <c r="J31" s="2"/>
      <c r="K31" s="59"/>
      <c r="L31" s="58"/>
      <c r="M31" s="156"/>
      <c r="N31" s="421" t="s">
        <v>22</v>
      </c>
    </row>
    <row r="32" spans="1:38" ht="18.75" customHeight="1" x14ac:dyDescent="0.3">
      <c r="A32" s="56"/>
    </row>
    <row r="33" spans="1:1" ht="18.75" customHeight="1" x14ac:dyDescent="0.3">
      <c r="A33" s="7"/>
    </row>
  </sheetData>
  <mergeCells count="7">
    <mergeCell ref="L5:N5"/>
    <mergeCell ref="A5:A8"/>
    <mergeCell ref="D5:F5"/>
    <mergeCell ref="H5:J5"/>
    <mergeCell ref="D6:F6"/>
    <mergeCell ref="H6:J6"/>
    <mergeCell ref="L6:N6"/>
  </mergeCells>
  <printOptions horizontalCentered="1"/>
  <pageMargins left="0.27559055118110237" right="0.27559055118110237" top="0.9055118110236221" bottom="0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2.1</vt:lpstr>
      <vt:lpstr>2.2 </vt:lpstr>
      <vt:lpstr>2.3</vt:lpstr>
      <vt:lpstr>2.4</vt:lpstr>
      <vt:lpstr>2.5</vt:lpstr>
      <vt:lpstr>2.6 </vt:lpstr>
      <vt:lpstr>2.7</vt:lpstr>
      <vt:lpstr>2.8</vt:lpstr>
      <vt:lpstr>2.9</vt:lpstr>
      <vt:lpstr>2.10</vt:lpstr>
      <vt:lpstr>2.11</vt:lpstr>
      <vt:lpstr>2.12 </vt:lpstr>
      <vt:lpstr>2.13</vt:lpstr>
      <vt:lpstr>2.14</vt:lpstr>
      <vt:lpstr>2.15 (1)</vt:lpstr>
      <vt:lpstr>2.15 (2)</vt:lpstr>
      <vt:lpstr>2.16</vt:lpstr>
      <vt:lpstr>2.17</vt:lpstr>
      <vt:lpstr>2.18</vt:lpstr>
      <vt:lpstr>2.19</vt:lpstr>
      <vt:lpstr>'2.1'!Print_Area</vt:lpstr>
      <vt:lpstr>'2.10'!Print_Area</vt:lpstr>
      <vt:lpstr>'2.11'!Print_Area</vt:lpstr>
      <vt:lpstr>'2.12 '!Print_Area</vt:lpstr>
      <vt:lpstr>'2.13'!Print_Area</vt:lpstr>
      <vt:lpstr>'2.14'!Print_Area</vt:lpstr>
      <vt:lpstr>'2.15 (1)'!Print_Area</vt:lpstr>
      <vt:lpstr>'2.15 (2)'!Print_Area</vt:lpstr>
      <vt:lpstr>'2.16'!Print_Area</vt:lpstr>
      <vt:lpstr>'2.17'!Print_Area</vt:lpstr>
      <vt:lpstr>'2.18'!Print_Area</vt:lpstr>
      <vt:lpstr>'2.19'!Print_Area</vt:lpstr>
      <vt:lpstr>'2.2 '!Print_Area</vt:lpstr>
      <vt:lpstr>'2.3'!Print_Area</vt:lpstr>
      <vt:lpstr>'2.4'!Print_Area</vt:lpstr>
      <vt:lpstr>'2.5'!Print_Area</vt:lpstr>
      <vt:lpstr>'2.6 '!Print_Area</vt:lpstr>
      <vt:lpstr>'2.7'!Print_Area</vt:lpstr>
      <vt:lpstr>'2.8'!Print_Area</vt:lpstr>
      <vt:lpstr>'2.9'!Print_Area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norinamohamad</dc:creator>
  <cp:lastModifiedBy>Mohd Shafiq Samsuddin</cp:lastModifiedBy>
  <cp:lastPrinted>2025-12-10T03:49:37Z</cp:lastPrinted>
  <dcterms:created xsi:type="dcterms:W3CDTF">2018-07-11T05:35:22Z</dcterms:created>
  <dcterms:modified xsi:type="dcterms:W3CDTF">2025-12-10T03:49:45Z</dcterms:modified>
</cp:coreProperties>
</file>